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Hobbies\Psephology\CHPV Spreadsheets\"/>
    </mc:Choice>
  </mc:AlternateContent>
  <xr:revisionPtr revIDLastSave="0" documentId="13_ncr:1_{3FED4656-BE01-48E5-AD04-33B99CFB16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A32" i="1" l="1"/>
  <c r="AA31" i="1"/>
  <c r="AA30" i="1"/>
  <c r="AA29" i="1"/>
  <c r="AA28" i="1"/>
  <c r="AA27" i="1"/>
  <c r="AA26" i="1"/>
  <c r="AA25" i="1"/>
  <c r="AA24" i="1"/>
  <c r="AA23" i="1"/>
  <c r="AB29" i="1" l="1"/>
  <c r="AB30" i="1"/>
  <c r="AB31" i="1"/>
  <c r="AB32" i="1"/>
  <c r="AY33" i="1" l="1"/>
  <c r="AY17" i="1" s="1"/>
  <c r="AX33" i="1"/>
  <c r="AW33" i="1"/>
  <c r="AW13" i="1" s="1"/>
  <c r="AV33" i="1"/>
  <c r="AV15" i="1" s="1"/>
  <c r="AU33" i="1"/>
  <c r="AU19" i="1" s="1"/>
  <c r="AT33" i="1"/>
  <c r="AS33" i="1"/>
  <c r="AS16" i="1" s="1"/>
  <c r="AR33" i="1"/>
  <c r="AR14" i="1" s="1"/>
  <c r="AQ33" i="1"/>
  <c r="AQ13" i="1" s="1"/>
  <c r="AP33" i="1"/>
  <c r="AP14" i="1" s="1"/>
  <c r="AS13" i="1"/>
  <c r="AS14" i="1"/>
  <c r="AV14" i="1"/>
  <c r="AW15" i="1"/>
  <c r="AW16" i="1"/>
  <c r="AW17" i="1"/>
  <c r="AS18" i="1"/>
  <c r="AW18" i="1"/>
  <c r="AR19" i="1"/>
  <c r="AW19" i="1"/>
  <c r="AV20" i="1"/>
  <c r="AW20" i="1"/>
  <c r="AW21" i="1"/>
  <c r="AW22" i="1"/>
  <c r="AR23" i="1"/>
  <c r="AW23" i="1"/>
  <c r="AR24" i="1"/>
  <c r="AV24" i="1"/>
  <c r="AW24" i="1"/>
  <c r="AV25" i="1"/>
  <c r="AW25" i="1"/>
  <c r="AW26" i="1"/>
  <c r="AU27" i="1"/>
  <c r="AW27" i="1"/>
  <c r="AW28" i="1"/>
  <c r="AS29" i="1"/>
  <c r="AT29" i="1"/>
  <c r="AW29" i="1"/>
  <c r="AS30" i="1"/>
  <c r="AW30" i="1"/>
  <c r="AV31" i="1"/>
  <c r="AW31" i="1"/>
  <c r="AW32" i="1"/>
  <c r="AV13" i="1"/>
  <c r="AT13" i="1"/>
  <c r="AU17" i="1" l="1"/>
  <c r="AQ32" i="1"/>
  <c r="AV26" i="1"/>
  <c r="AR25" i="1"/>
  <c r="AV18" i="1"/>
  <c r="AR26" i="1"/>
  <c r="AU23" i="1"/>
  <c r="AR21" i="1"/>
  <c r="AV19" i="1"/>
  <c r="AT14" i="1"/>
  <c r="AT17" i="1"/>
  <c r="AT21" i="1"/>
  <c r="AT27" i="1"/>
  <c r="AX14" i="1"/>
  <c r="AX25" i="1"/>
  <c r="AX27" i="1"/>
  <c r="AX13" i="1"/>
  <c r="AX31" i="1"/>
  <c r="AX21" i="1"/>
  <c r="AU21" i="1"/>
  <c r="AQ17" i="1"/>
  <c r="AQ27" i="1"/>
  <c r="AQ25" i="1"/>
  <c r="AR22" i="1"/>
  <c r="AR20" i="1"/>
  <c r="AQ19" i="1"/>
  <c r="AY23" i="1"/>
  <c r="AY15" i="1"/>
  <c r="AY27" i="1"/>
  <c r="AY21" i="1"/>
  <c r="AY29" i="1"/>
  <c r="AY13" i="1"/>
  <c r="AY31" i="1"/>
  <c r="AY25" i="1"/>
  <c r="AY19" i="1"/>
  <c r="AX29" i="1"/>
  <c r="AX23" i="1"/>
  <c r="AX19" i="1"/>
  <c r="AX15" i="1"/>
  <c r="AX17" i="1"/>
  <c r="AW14" i="1"/>
  <c r="AV30" i="1"/>
  <c r="AV23" i="1"/>
  <c r="AV22" i="1"/>
  <c r="AV17" i="1"/>
  <c r="AV32" i="1"/>
  <c r="AV29" i="1"/>
  <c r="AV28" i="1"/>
  <c r="AV27" i="1"/>
  <c r="AV21" i="1"/>
  <c r="AV16" i="1"/>
  <c r="AU25" i="1"/>
  <c r="AU15" i="1"/>
  <c r="AU13" i="1"/>
  <c r="AU31" i="1"/>
  <c r="AU29" i="1"/>
  <c r="AT23" i="1"/>
  <c r="AT19" i="1"/>
  <c r="AT15" i="1"/>
  <c r="AT31" i="1"/>
  <c r="AT25" i="1"/>
  <c r="AS32" i="1"/>
  <c r="AS31" i="1"/>
  <c r="AS27" i="1"/>
  <c r="AS26" i="1"/>
  <c r="AS25" i="1"/>
  <c r="AS15" i="1"/>
  <c r="AS28" i="1"/>
  <c r="AS24" i="1"/>
  <c r="AS23" i="1"/>
  <c r="AS22" i="1"/>
  <c r="AS21" i="1"/>
  <c r="AS20" i="1"/>
  <c r="AS19" i="1"/>
  <c r="AS17" i="1"/>
  <c r="AR32" i="1"/>
  <c r="AR18" i="1"/>
  <c r="AR17" i="1"/>
  <c r="AR13" i="1"/>
  <c r="AR31" i="1"/>
  <c r="AR30" i="1"/>
  <c r="AR29" i="1"/>
  <c r="AR28" i="1"/>
  <c r="AR27" i="1"/>
  <c r="AR16" i="1"/>
  <c r="AR15" i="1"/>
  <c r="AQ31" i="1"/>
  <c r="AQ23" i="1"/>
  <c r="AQ15" i="1"/>
  <c r="AQ29" i="1"/>
  <c r="AQ21" i="1"/>
  <c r="AP13" i="1"/>
  <c r="AP31" i="1"/>
  <c r="AP27" i="1"/>
  <c r="AP23" i="1"/>
  <c r="AP19" i="1"/>
  <c r="AP15" i="1"/>
  <c r="AP32" i="1"/>
  <c r="AP29" i="1"/>
  <c r="AP25" i="1"/>
  <c r="AP21" i="1"/>
  <c r="AP17" i="1"/>
  <c r="AY32" i="1"/>
  <c r="AU32" i="1"/>
  <c r="AY30" i="1"/>
  <c r="AU30" i="1"/>
  <c r="AQ30" i="1"/>
  <c r="AY28" i="1"/>
  <c r="AU28" i="1"/>
  <c r="AQ28" i="1"/>
  <c r="AY26" i="1"/>
  <c r="AU26" i="1"/>
  <c r="AQ26" i="1"/>
  <c r="AY24" i="1"/>
  <c r="AU24" i="1"/>
  <c r="AQ24" i="1"/>
  <c r="AY22" i="1"/>
  <c r="AU22" i="1"/>
  <c r="AQ22" i="1"/>
  <c r="AY20" i="1"/>
  <c r="AU20" i="1"/>
  <c r="AQ20" i="1"/>
  <c r="AY18" i="1"/>
  <c r="AU18" i="1"/>
  <c r="AQ18" i="1"/>
  <c r="AY16" i="1"/>
  <c r="AU16" i="1"/>
  <c r="AQ16" i="1"/>
  <c r="AY14" i="1"/>
  <c r="AU14" i="1"/>
  <c r="AQ14" i="1"/>
  <c r="AX32" i="1"/>
  <c r="AT32" i="1"/>
  <c r="AX30" i="1"/>
  <c r="AT30" i="1"/>
  <c r="AP30" i="1"/>
  <c r="AX28" i="1"/>
  <c r="AT28" i="1"/>
  <c r="AP28" i="1"/>
  <c r="AX26" i="1"/>
  <c r="AT26" i="1"/>
  <c r="AP26" i="1"/>
  <c r="AX24" i="1"/>
  <c r="AT24" i="1"/>
  <c r="AP24" i="1"/>
  <c r="AX22" i="1"/>
  <c r="AT22" i="1"/>
  <c r="AP22" i="1"/>
  <c r="AX20" i="1"/>
  <c r="AT20" i="1"/>
  <c r="AP20" i="1"/>
  <c r="AX18" i="1"/>
  <c r="AT18" i="1"/>
  <c r="AP18" i="1"/>
  <c r="AX16" i="1"/>
  <c r="AT16" i="1"/>
  <c r="AP16" i="1"/>
  <c r="U35" i="1" l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U12" i="1"/>
  <c r="AY12" i="1" s="1"/>
  <c r="T12" i="1"/>
  <c r="AX12" i="1" s="1"/>
  <c r="S12" i="1"/>
  <c r="AW12" i="1" s="1"/>
  <c r="R12" i="1"/>
  <c r="AV12" i="1" s="1"/>
  <c r="Q12" i="1"/>
  <c r="AU12" i="1" s="1"/>
  <c r="P12" i="1"/>
  <c r="AT12" i="1" s="1"/>
  <c r="O12" i="1"/>
  <c r="AS12" i="1" s="1"/>
  <c r="N12" i="1"/>
  <c r="AR12" i="1" s="1"/>
  <c r="M12" i="1"/>
  <c r="AQ12" i="1" s="1"/>
  <c r="A32" i="1"/>
  <c r="BU12" i="1" s="1"/>
  <c r="A31" i="1"/>
  <c r="BT12" i="1" s="1"/>
  <c r="A30" i="1"/>
  <c r="BS12" i="1" s="1"/>
  <c r="A29" i="1"/>
  <c r="BR12" i="1" s="1"/>
  <c r="A28" i="1"/>
  <c r="BQ12" i="1" s="1"/>
  <c r="A27" i="1"/>
  <c r="BP12" i="1" s="1"/>
  <c r="A26" i="1"/>
  <c r="BO12" i="1" s="1"/>
  <c r="A25" i="1"/>
  <c r="BN12" i="1" s="1"/>
  <c r="A24" i="1"/>
  <c r="BM12" i="1" s="1"/>
  <c r="A23" i="1"/>
  <c r="BL12" i="1" s="1"/>
  <c r="B9" i="1"/>
  <c r="X29" i="1" l="1"/>
  <c r="AE29" i="1"/>
  <c r="AZ29" i="1"/>
  <c r="Y29" i="1"/>
  <c r="X23" i="1"/>
  <c r="AZ23" i="1"/>
  <c r="AE23" i="1"/>
  <c r="Y23" i="1"/>
  <c r="X27" i="1"/>
  <c r="AE27" i="1"/>
  <c r="AZ27" i="1"/>
  <c r="Y27" i="1"/>
  <c r="X31" i="1"/>
  <c r="AZ31" i="1"/>
  <c r="AE31" i="1"/>
  <c r="Y31" i="1"/>
  <c r="X24" i="1"/>
  <c r="AZ24" i="1"/>
  <c r="AE24" i="1"/>
  <c r="Y24" i="1"/>
  <c r="X28" i="1"/>
  <c r="AZ28" i="1"/>
  <c r="AE28" i="1"/>
  <c r="Y28" i="1"/>
  <c r="X32" i="1"/>
  <c r="AZ32" i="1"/>
  <c r="AE32" i="1"/>
  <c r="Y32" i="1"/>
  <c r="X25" i="1"/>
  <c r="AE25" i="1"/>
  <c r="AZ25" i="1"/>
  <c r="Y25" i="1"/>
  <c r="X26" i="1"/>
  <c r="AZ26" i="1"/>
  <c r="AE26" i="1"/>
  <c r="Y26" i="1"/>
  <c r="X30" i="1"/>
  <c r="AZ30" i="1"/>
  <c r="AE30" i="1"/>
  <c r="Y30" i="1"/>
  <c r="AO33" i="1"/>
  <c r="AN33" i="1"/>
  <c r="AM33" i="1"/>
  <c r="AL33" i="1"/>
  <c r="AK33" i="1"/>
  <c r="AJ33" i="1"/>
  <c r="AI33" i="1"/>
  <c r="AH33" i="1"/>
  <c r="AG33" i="1"/>
  <c r="AF33" i="1"/>
  <c r="AK23" i="1" l="1"/>
  <c r="AK25" i="1"/>
  <c r="AK27" i="1"/>
  <c r="AK29" i="1"/>
  <c r="AK31" i="1"/>
  <c r="AK26" i="1"/>
  <c r="AK30" i="1"/>
  <c r="AK24" i="1"/>
  <c r="AK28" i="1"/>
  <c r="AK32" i="1"/>
  <c r="AO23" i="1"/>
  <c r="AO25" i="1"/>
  <c r="AO27" i="1"/>
  <c r="AO29" i="1"/>
  <c r="AO31" i="1"/>
  <c r="AO24" i="1"/>
  <c r="AO28" i="1"/>
  <c r="AO32" i="1"/>
  <c r="AO26" i="1"/>
  <c r="AO30" i="1"/>
  <c r="AL23" i="1"/>
  <c r="AL25" i="1"/>
  <c r="AL27" i="1"/>
  <c r="AL29" i="1"/>
  <c r="AL31" i="1"/>
  <c r="AL24" i="1"/>
  <c r="AL28" i="1"/>
  <c r="AL32" i="1"/>
  <c r="AL26" i="1"/>
  <c r="AL30" i="1"/>
  <c r="AG23" i="1"/>
  <c r="AG25" i="1"/>
  <c r="AG27" i="1"/>
  <c r="AG29" i="1"/>
  <c r="AG31" i="1"/>
  <c r="AG24" i="1"/>
  <c r="AG28" i="1"/>
  <c r="AG32" i="1"/>
  <c r="AG26" i="1"/>
  <c r="AG30" i="1"/>
  <c r="AH23" i="1"/>
  <c r="AH25" i="1"/>
  <c r="AH27" i="1"/>
  <c r="AH29" i="1"/>
  <c r="AH31" i="1"/>
  <c r="AH26" i="1"/>
  <c r="AH30" i="1"/>
  <c r="AH24" i="1"/>
  <c r="AH28" i="1"/>
  <c r="AH32" i="1"/>
  <c r="AI24" i="1"/>
  <c r="AI26" i="1"/>
  <c r="AI28" i="1"/>
  <c r="AI30" i="1"/>
  <c r="AI32" i="1"/>
  <c r="AI23" i="1"/>
  <c r="AI27" i="1"/>
  <c r="AI31" i="1"/>
  <c r="AI25" i="1"/>
  <c r="AI29" i="1"/>
  <c r="AM24" i="1"/>
  <c r="AM26" i="1"/>
  <c r="AM28" i="1"/>
  <c r="AM30" i="1"/>
  <c r="AM32" i="1"/>
  <c r="AM25" i="1"/>
  <c r="AM29" i="1"/>
  <c r="AM23" i="1"/>
  <c r="AM27" i="1"/>
  <c r="AM31" i="1"/>
  <c r="AF24" i="1"/>
  <c r="AF26" i="1"/>
  <c r="AF28" i="1"/>
  <c r="AF30" i="1"/>
  <c r="AF32" i="1"/>
  <c r="AF23" i="1"/>
  <c r="AF27" i="1"/>
  <c r="AF31" i="1"/>
  <c r="AF25" i="1"/>
  <c r="AF29" i="1"/>
  <c r="AJ24" i="1"/>
  <c r="AJ26" i="1"/>
  <c r="AJ28" i="1"/>
  <c r="AJ30" i="1"/>
  <c r="AJ32" i="1"/>
  <c r="AJ25" i="1"/>
  <c r="AJ29" i="1"/>
  <c r="AJ23" i="1"/>
  <c r="AJ27" i="1"/>
  <c r="AJ31" i="1"/>
  <c r="AN24" i="1"/>
  <c r="AN26" i="1"/>
  <c r="AN28" i="1"/>
  <c r="AN30" i="1"/>
  <c r="AN32" i="1"/>
  <c r="AN23" i="1"/>
  <c r="AN27" i="1"/>
  <c r="AN31" i="1"/>
  <c r="AN25" i="1"/>
  <c r="AN29" i="1"/>
  <c r="AJ14" i="1"/>
  <c r="AJ18" i="1"/>
  <c r="AJ22" i="1"/>
  <c r="AJ15" i="1"/>
  <c r="AJ19" i="1"/>
  <c r="AJ17" i="1"/>
  <c r="AJ13" i="1"/>
  <c r="AJ20" i="1"/>
  <c r="AJ21" i="1"/>
  <c r="AJ16" i="1"/>
  <c r="AN14" i="1"/>
  <c r="AN18" i="1"/>
  <c r="AN22" i="1"/>
  <c r="AN15" i="1"/>
  <c r="AN19" i="1"/>
  <c r="AN16" i="1"/>
  <c r="AN20" i="1"/>
  <c r="AN21" i="1"/>
  <c r="AN13" i="1"/>
  <c r="AN17" i="1"/>
  <c r="AK14" i="1"/>
  <c r="AK18" i="1"/>
  <c r="AK22" i="1"/>
  <c r="AK15" i="1"/>
  <c r="AK19" i="1"/>
  <c r="AK16" i="1"/>
  <c r="AK21" i="1"/>
  <c r="AK17" i="1"/>
  <c r="AK13" i="1"/>
  <c r="AK20" i="1"/>
  <c r="AO14" i="1"/>
  <c r="AO18" i="1"/>
  <c r="AO22" i="1"/>
  <c r="AO15" i="1"/>
  <c r="AO19" i="1"/>
  <c r="AO16" i="1"/>
  <c r="AO20" i="1"/>
  <c r="AO13" i="1"/>
  <c r="AO17" i="1"/>
  <c r="AO21" i="1"/>
  <c r="AG14" i="1"/>
  <c r="AG18" i="1"/>
  <c r="AG22" i="1"/>
  <c r="AG15" i="1"/>
  <c r="AG19" i="1"/>
  <c r="AG21" i="1"/>
  <c r="AG16" i="1"/>
  <c r="AG17" i="1"/>
  <c r="AG13" i="1"/>
  <c r="AG20" i="1"/>
  <c r="AH14" i="1"/>
  <c r="AH18" i="1"/>
  <c r="AH22" i="1"/>
  <c r="AH15" i="1"/>
  <c r="AH19" i="1"/>
  <c r="AH17" i="1"/>
  <c r="AH13" i="1"/>
  <c r="AH20" i="1"/>
  <c r="AH21" i="1"/>
  <c r="AH16" i="1"/>
  <c r="AL14" i="1"/>
  <c r="AL18" i="1"/>
  <c r="AL22" i="1"/>
  <c r="AL15" i="1"/>
  <c r="AL19" i="1"/>
  <c r="AL16" i="1"/>
  <c r="AL20" i="1"/>
  <c r="AL21" i="1"/>
  <c r="AL13" i="1"/>
  <c r="AL17" i="1"/>
  <c r="AI14" i="1"/>
  <c r="AI18" i="1"/>
  <c r="AI22" i="1"/>
  <c r="AI15" i="1"/>
  <c r="AI19" i="1"/>
  <c r="AI21" i="1"/>
  <c r="AI13" i="1"/>
  <c r="AI20" i="1"/>
  <c r="AI16" i="1"/>
  <c r="AI17" i="1"/>
  <c r="AM14" i="1"/>
  <c r="AM18" i="1"/>
  <c r="AM22" i="1"/>
  <c r="AM15" i="1"/>
  <c r="AM19" i="1"/>
  <c r="AM16" i="1"/>
  <c r="AM20" i="1"/>
  <c r="AM17" i="1"/>
  <c r="AM21" i="1"/>
  <c r="AM13" i="1"/>
  <c r="AF19" i="1"/>
  <c r="AF22" i="1"/>
  <c r="AF18" i="1"/>
  <c r="AF14" i="1"/>
  <c r="AF21" i="1"/>
  <c r="AF13" i="1"/>
  <c r="AF17" i="1"/>
  <c r="AF20" i="1"/>
  <c r="BA20" i="1" s="1"/>
  <c r="AF16" i="1"/>
  <c r="AF15" i="1"/>
  <c r="B7" i="1"/>
  <c r="BA31" i="1" l="1"/>
  <c r="BT20" i="1" s="1"/>
  <c r="BA30" i="1"/>
  <c r="BA27" i="1"/>
  <c r="BK27" i="1" s="1"/>
  <c r="BA28" i="1"/>
  <c r="BI28" i="1" s="1"/>
  <c r="BA22" i="1"/>
  <c r="BA29" i="1"/>
  <c r="BA23" i="1"/>
  <c r="BL18" i="1" s="1"/>
  <c r="BA26" i="1"/>
  <c r="BG26" i="1" s="1"/>
  <c r="BA21" i="1"/>
  <c r="BA19" i="1"/>
  <c r="BA25" i="1"/>
  <c r="BE25" i="1" s="1"/>
  <c r="BA32" i="1"/>
  <c r="BK32" i="1" s="1"/>
  <c r="BA24" i="1"/>
  <c r="BH21" i="1"/>
  <c r="BK23" i="1"/>
  <c r="Z23" i="1"/>
  <c r="BJ24" i="1"/>
  <c r="BG24" i="1"/>
  <c r="BE24" i="1"/>
  <c r="BM16" i="1"/>
  <c r="BM22" i="1"/>
  <c r="BM18" i="1"/>
  <c r="BM15" i="1"/>
  <c r="BK24" i="1"/>
  <c r="BM21" i="1"/>
  <c r="BM19" i="1"/>
  <c r="Z24" i="1"/>
  <c r="BB25" i="1"/>
  <c r="BN23" i="1"/>
  <c r="Z25" i="1"/>
  <c r="BK26" i="1"/>
  <c r="BO15" i="1"/>
  <c r="BI26" i="1"/>
  <c r="BO20" i="1"/>
  <c r="Z26" i="1"/>
  <c r="BO27" i="1"/>
  <c r="BP18" i="1"/>
  <c r="BP21" i="1"/>
  <c r="BP25" i="1"/>
  <c r="BP17" i="1"/>
  <c r="Z27" i="1"/>
  <c r="BM28" i="1"/>
  <c r="BQ16" i="1"/>
  <c r="BQ15" i="1"/>
  <c r="BG28" i="1"/>
  <c r="BQ26" i="1"/>
  <c r="Z28" i="1"/>
  <c r="BI29" i="1"/>
  <c r="BC29" i="1"/>
  <c r="BR24" i="1"/>
  <c r="BR16" i="1"/>
  <c r="BR14" i="1"/>
  <c r="BJ29" i="1"/>
  <c r="BD29" i="1"/>
  <c r="BR26" i="1"/>
  <c r="BR13" i="1"/>
  <c r="BO29" i="1"/>
  <c r="BB29" i="1"/>
  <c r="Z29" i="1"/>
  <c r="BQ30" i="1"/>
  <c r="BS16" i="1"/>
  <c r="BP30" i="1"/>
  <c r="BL30" i="1"/>
  <c r="BE30" i="1"/>
  <c r="BD30" i="1"/>
  <c r="BC30" i="1"/>
  <c r="BS22" i="1"/>
  <c r="BS21" i="1"/>
  <c r="BS19" i="1"/>
  <c r="BN30" i="1"/>
  <c r="BJ30" i="1"/>
  <c r="BS15" i="1"/>
  <c r="BK30" i="1"/>
  <c r="BR30" i="1"/>
  <c r="Z30" i="1"/>
  <c r="BM31" i="1"/>
  <c r="BQ31" i="1"/>
  <c r="BI31" i="1"/>
  <c r="BG31" i="1"/>
  <c r="BL31" i="1"/>
  <c r="BH31" i="1"/>
  <c r="BS31" i="1"/>
  <c r="BO31" i="1"/>
  <c r="BK31" i="1"/>
  <c r="BT30" i="1"/>
  <c r="BT23" i="1"/>
  <c r="BT22" i="1"/>
  <c r="BR31" i="1"/>
  <c r="BJ31" i="1"/>
  <c r="BT24" i="1"/>
  <c r="BT21" i="1"/>
  <c r="BT16" i="1"/>
  <c r="BC31" i="1"/>
  <c r="BS32" i="1"/>
  <c r="BU28" i="1"/>
  <c r="BQ32" i="1"/>
  <c r="BE32" i="1"/>
  <c r="BT32" i="1"/>
  <c r="BU18" i="1"/>
  <c r="BU27" i="1"/>
  <c r="BA16" i="1"/>
  <c r="Z16" i="1" s="1"/>
  <c r="BA15" i="1"/>
  <c r="BA14" i="1"/>
  <c r="Z20" i="1"/>
  <c r="BA18" i="1"/>
  <c r="Z18" i="1" s="1"/>
  <c r="Z32" i="1"/>
  <c r="BA17" i="1"/>
  <c r="Z21" i="1"/>
  <c r="Z22" i="1"/>
  <c r="Z31" i="1"/>
  <c r="BA13" i="1"/>
  <c r="Z19" i="1"/>
  <c r="L12" i="1"/>
  <c r="AP12" i="1" s="1"/>
  <c r="K12" i="1"/>
  <c r="AO12" i="1" s="1"/>
  <c r="J12" i="1"/>
  <c r="AN12" i="1" s="1"/>
  <c r="I12" i="1"/>
  <c r="AM12" i="1" s="1"/>
  <c r="H12" i="1"/>
  <c r="AL12" i="1" s="1"/>
  <c r="G12" i="1"/>
  <c r="AK12" i="1" s="1"/>
  <c r="F12" i="1"/>
  <c r="AJ12" i="1" s="1"/>
  <c r="E12" i="1"/>
  <c r="AI12" i="1" s="1"/>
  <c r="D12" i="1"/>
  <c r="AH12" i="1" s="1"/>
  <c r="C12" i="1"/>
  <c r="AG12" i="1" s="1"/>
  <c r="B12" i="1"/>
  <c r="AF12" i="1" s="1"/>
  <c r="BU16" i="1" l="1"/>
  <c r="BU13" i="1"/>
  <c r="BD32" i="1"/>
  <c r="BT26" i="1"/>
  <c r="BQ17" i="1"/>
  <c r="BQ20" i="1"/>
  <c r="BJ26" i="1"/>
  <c r="BU17" i="1"/>
  <c r="BO32" i="1"/>
  <c r="BU30" i="1"/>
  <c r="BU23" i="1"/>
  <c r="BJ32" i="1"/>
  <c r="BU21" i="1"/>
  <c r="BI32" i="1"/>
  <c r="BN31" i="1"/>
  <c r="BT25" i="1"/>
  <c r="BO30" i="1"/>
  <c r="BR27" i="1"/>
  <c r="BR28" i="1"/>
  <c r="BQ19" i="1"/>
  <c r="BQ14" i="1"/>
  <c r="BK28" i="1"/>
  <c r="BQ22" i="1"/>
  <c r="BF28" i="1"/>
  <c r="BP20" i="1"/>
  <c r="BD27" i="1"/>
  <c r="BP23" i="1"/>
  <c r="BO18" i="1"/>
  <c r="BO22" i="1"/>
  <c r="BL26" i="1"/>
  <c r="BE26" i="1"/>
  <c r="BN15" i="1"/>
  <c r="BN24" i="1"/>
  <c r="BL17" i="1"/>
  <c r="BB32" i="1"/>
  <c r="BV32" i="1" s="1"/>
  <c r="BU20" i="1"/>
  <c r="BH32" i="1"/>
  <c r="BN28" i="1"/>
  <c r="BH28" i="1"/>
  <c r="BD28" i="1"/>
  <c r="BO21" i="1"/>
  <c r="BD26" i="1"/>
  <c r="BG23" i="1"/>
  <c r="BH23" i="1"/>
  <c r="BU19" i="1"/>
  <c r="BU15" i="1"/>
  <c r="BL32" i="1"/>
  <c r="BU31" i="1"/>
  <c r="BM32" i="1"/>
  <c r="BU26" i="1"/>
  <c r="BT28" i="1"/>
  <c r="BS27" i="1"/>
  <c r="BL29" i="1"/>
  <c r="BQ21" i="1"/>
  <c r="BE28" i="1"/>
  <c r="BO28" i="1"/>
  <c r="BP28" i="1"/>
  <c r="BP13" i="1"/>
  <c r="BP16" i="1"/>
  <c r="BO19" i="1"/>
  <c r="BO24" i="1"/>
  <c r="BM26" i="1"/>
  <c r="BN17" i="1"/>
  <c r="BL24" i="1"/>
  <c r="BJ28" i="1"/>
  <c r="BH25" i="1"/>
  <c r="BN20" i="1"/>
  <c r="BC25" i="1"/>
  <c r="BS25" i="1"/>
  <c r="BN32" i="1"/>
  <c r="BN16" i="1"/>
  <c r="BF25" i="1"/>
  <c r="BL25" i="1"/>
  <c r="BN21" i="1"/>
  <c r="BK25" i="1"/>
  <c r="BN18" i="1"/>
  <c r="BO25" i="1"/>
  <c r="BB23" i="1"/>
  <c r="BE23" i="1"/>
  <c r="BJ23" i="1"/>
  <c r="BL20" i="1"/>
  <c r="BM23" i="1"/>
  <c r="BO23" i="1"/>
  <c r="BL28" i="1"/>
  <c r="BR23" i="1"/>
  <c r="BL22" i="1"/>
  <c r="BD23" i="1"/>
  <c r="BI23" i="1"/>
  <c r="BI27" i="1"/>
  <c r="BB27" i="1"/>
  <c r="BL27" i="1"/>
  <c r="BP26" i="1"/>
  <c r="BT27" i="1"/>
  <c r="BP32" i="1"/>
  <c r="Z13" i="1"/>
  <c r="BD13" i="1"/>
  <c r="BG13" i="1"/>
  <c r="BE13" i="1"/>
  <c r="BF13" i="1"/>
  <c r="BI13" i="1"/>
  <c r="BL13" i="1"/>
  <c r="BM13" i="1"/>
  <c r="BN13" i="1"/>
  <c r="BB26" i="1"/>
  <c r="BO13" i="1"/>
  <c r="BQ13" i="1"/>
  <c r="BS13" i="1"/>
  <c r="BT13" i="1"/>
  <c r="BK13" i="1"/>
  <c r="Z17" i="1"/>
  <c r="BF26" i="1"/>
  <c r="BT17" i="1"/>
  <c r="BF24" i="1"/>
  <c r="Z14" i="1"/>
  <c r="BM14" i="1"/>
  <c r="BC28" i="1"/>
  <c r="BL14" i="1"/>
  <c r="BO14" i="1"/>
  <c r="BF32" i="1"/>
  <c r="BC32" i="1"/>
  <c r="BT14" i="1"/>
  <c r="BP31" i="1"/>
  <c r="BS14" i="1"/>
  <c r="BS17" i="1"/>
  <c r="BF29" i="1"/>
  <c r="BR17" i="1"/>
  <c r="BP29" i="1"/>
  <c r="BN29" i="1"/>
  <c r="BQ27" i="1"/>
  <c r="BQ23" i="1"/>
  <c r="BE27" i="1"/>
  <c r="BP24" i="1"/>
  <c r="BJ27" i="1"/>
  <c r="BH27" i="1"/>
  <c r="BC27" i="1"/>
  <c r="BD25" i="1"/>
  <c r="BG25" i="1"/>
  <c r="BM25" i="1"/>
  <c r="BB24" i="1"/>
  <c r="BV24" i="1" s="1"/>
  <c r="AB24" i="1" s="1"/>
  <c r="BC24" i="1"/>
  <c r="BL21" i="1"/>
  <c r="BL15" i="1"/>
  <c r="BJ13" i="1"/>
  <c r="BH13" i="1"/>
  <c r="BN19" i="1"/>
  <c r="BH26" i="1"/>
  <c r="BP19" i="1"/>
  <c r="BR19" i="1"/>
  <c r="BT19" i="1"/>
  <c r="BL19" i="1"/>
  <c r="BG29" i="1"/>
  <c r="BM29" i="1"/>
  <c r="BE29" i="1"/>
  <c r="BH29" i="1"/>
  <c r="BR32" i="1"/>
  <c r="BM30" i="1"/>
  <c r="BH30" i="1"/>
  <c r="BF30" i="1"/>
  <c r="BB30" i="1"/>
  <c r="BS20" i="1"/>
  <c r="BS28" i="1"/>
  <c r="BS26" i="1"/>
  <c r="Z15" i="1"/>
  <c r="BP15" i="1"/>
  <c r="BR15" i="1"/>
  <c r="BU29" i="1"/>
  <c r="BU25" i="1"/>
  <c r="BU14" i="1"/>
  <c r="BT15" i="1"/>
  <c r="BT29" i="1"/>
  <c r="BB31" i="1"/>
  <c r="BS23" i="1"/>
  <c r="BI30" i="1"/>
  <c r="BS18" i="1"/>
  <c r="BS29" i="1"/>
  <c r="BG30" i="1"/>
  <c r="BS24" i="1"/>
  <c r="BR18" i="1"/>
  <c r="BK29" i="1"/>
  <c r="BR21" i="1"/>
  <c r="BR20" i="1"/>
  <c r="BQ29" i="1"/>
  <c r="BR25" i="1"/>
  <c r="BQ25" i="1"/>
  <c r="BB28" i="1"/>
  <c r="BM27" i="1"/>
  <c r="BF27" i="1"/>
  <c r="BP14" i="1"/>
  <c r="BN27" i="1"/>
  <c r="BG27" i="1"/>
  <c r="BO17" i="1"/>
  <c r="BC26" i="1"/>
  <c r="BN26" i="1"/>
  <c r="BJ25" i="1"/>
  <c r="BI25" i="1"/>
  <c r="BN14" i="1"/>
  <c r="BM17" i="1"/>
  <c r="BD24" i="1"/>
  <c r="BC23" i="1"/>
  <c r="BL16" i="1"/>
  <c r="BF23" i="1"/>
  <c r="BH24" i="1"/>
  <c r="BH22" i="1"/>
  <c r="BU22" i="1"/>
  <c r="BU24" i="1"/>
  <c r="BG32" i="1"/>
  <c r="BD31" i="1"/>
  <c r="BT18" i="1"/>
  <c r="BE31" i="1"/>
  <c r="BF31" i="1"/>
  <c r="BR22" i="1"/>
  <c r="BQ18" i="1"/>
  <c r="BQ24" i="1"/>
  <c r="BP22" i="1"/>
  <c r="BO16" i="1"/>
  <c r="BN22" i="1"/>
  <c r="BI24" i="1"/>
  <c r="BM20" i="1"/>
  <c r="BV23" i="1"/>
  <c r="AB23" i="1" s="1"/>
  <c r="BE15" i="1"/>
  <c r="BD16" i="1"/>
  <c r="BF15" i="1"/>
  <c r="BG15" i="1"/>
  <c r="BC15" i="1"/>
  <c r="BH16" i="1"/>
  <c r="BH15" i="1"/>
  <c r="BI22" i="1"/>
  <c r="BE22" i="1"/>
  <c r="BD22" i="1"/>
  <c r="BB22" i="1"/>
  <c r="BG22" i="1"/>
  <c r="BC22" i="1"/>
  <c r="BJ22" i="1"/>
  <c r="BF22" i="1"/>
  <c r="BC18" i="1"/>
  <c r="BJ18" i="1"/>
  <c r="BF18" i="1"/>
  <c r="BB18" i="1"/>
  <c r="BI18" i="1"/>
  <c r="BE18" i="1"/>
  <c r="BH18" i="1"/>
  <c r="BD18" i="1"/>
  <c r="BK18" i="1"/>
  <c r="BK15" i="1"/>
  <c r="BF16" i="1"/>
  <c r="BG16" i="1"/>
  <c r="BG19" i="1"/>
  <c r="BC19" i="1"/>
  <c r="BB19" i="1"/>
  <c r="BI19" i="1"/>
  <c r="BF19" i="1"/>
  <c r="BE19" i="1"/>
  <c r="BK19" i="1"/>
  <c r="BD19" i="1"/>
  <c r="BJ19" i="1"/>
  <c r="BD21" i="1"/>
  <c r="BG21" i="1"/>
  <c r="BC21" i="1"/>
  <c r="BF21" i="1"/>
  <c r="BB21" i="1"/>
  <c r="BI21" i="1"/>
  <c r="BE21" i="1"/>
  <c r="BK21" i="1"/>
  <c r="BF20" i="1"/>
  <c r="BE20" i="1"/>
  <c r="BH20" i="1"/>
  <c r="BD20" i="1"/>
  <c r="BK20" i="1"/>
  <c r="BG20" i="1"/>
  <c r="BC20" i="1"/>
  <c r="BB20" i="1"/>
  <c r="BJ20" i="1"/>
  <c r="BB15" i="1"/>
  <c r="BB16" i="1"/>
  <c r="BJ16" i="1"/>
  <c r="BK16" i="1"/>
  <c r="BH17" i="1"/>
  <c r="BE17" i="1"/>
  <c r="BK17" i="1"/>
  <c r="BG17" i="1"/>
  <c r="BD17" i="1"/>
  <c r="BB17" i="1"/>
  <c r="BJ17" i="1"/>
  <c r="BC17" i="1"/>
  <c r="BI17" i="1"/>
  <c r="BB14" i="1"/>
  <c r="BI15" i="1"/>
  <c r="BJ15" i="1"/>
  <c r="BI16" i="1"/>
  <c r="BC16" i="1"/>
  <c r="BC13" i="1"/>
  <c r="BI14" i="1"/>
  <c r="BE14" i="1"/>
  <c r="BH14" i="1"/>
  <c r="BD14" i="1"/>
  <c r="BK14" i="1"/>
  <c r="BG14" i="1"/>
  <c r="BJ14" i="1"/>
  <c r="BF14" i="1"/>
  <c r="V9" i="1"/>
  <c r="A22" i="1"/>
  <c r="BK12" i="1" s="1"/>
  <c r="A21" i="1"/>
  <c r="BJ12" i="1" s="1"/>
  <c r="A20" i="1"/>
  <c r="BI12" i="1" s="1"/>
  <c r="A19" i="1"/>
  <c r="BH12" i="1" s="1"/>
  <c r="A18" i="1"/>
  <c r="BG12" i="1" s="1"/>
  <c r="A17" i="1"/>
  <c r="BF12" i="1" s="1"/>
  <c r="A16" i="1"/>
  <c r="BE12" i="1" s="1"/>
  <c r="A15" i="1"/>
  <c r="BD12" i="1" s="1"/>
  <c r="A14" i="1"/>
  <c r="BC12" i="1" s="1"/>
  <c r="A13" i="1"/>
  <c r="V35" i="1"/>
  <c r="B33" i="1"/>
  <c r="B35" i="1" s="1"/>
  <c r="W13" i="1"/>
  <c r="BV31" i="1" l="1"/>
  <c r="BV26" i="1"/>
  <c r="AB26" i="1" s="1"/>
  <c r="BV28" i="1"/>
  <c r="AB28" i="1" s="1"/>
  <c r="BV29" i="1"/>
  <c r="BV25" i="1"/>
  <c r="AB25" i="1" s="1"/>
  <c r="BV27" i="1"/>
  <c r="AB27" i="1" s="1"/>
  <c r="BV30" i="1"/>
  <c r="X17" i="1"/>
  <c r="AE17" i="1"/>
  <c r="AZ17" i="1"/>
  <c r="Y17" i="1"/>
  <c r="X22" i="1"/>
  <c r="AE22" i="1"/>
  <c r="AZ22" i="1"/>
  <c r="Y22" i="1"/>
  <c r="X15" i="1"/>
  <c r="AZ15" i="1"/>
  <c r="AE15" i="1"/>
  <c r="Y15" i="1"/>
  <c r="X14" i="1"/>
  <c r="AE14" i="1"/>
  <c r="AZ14" i="1"/>
  <c r="Y14" i="1"/>
  <c r="X18" i="1"/>
  <c r="AZ18" i="1"/>
  <c r="AE18" i="1"/>
  <c r="Y18" i="1"/>
  <c r="X19" i="1"/>
  <c r="AZ19" i="1"/>
  <c r="AE19" i="1"/>
  <c r="Y19" i="1"/>
  <c r="X16" i="1"/>
  <c r="AZ16" i="1"/>
  <c r="AE16" i="1"/>
  <c r="Y16" i="1"/>
  <c r="X20" i="1"/>
  <c r="AZ20" i="1"/>
  <c r="AE20" i="1"/>
  <c r="Y20" i="1"/>
  <c r="X21" i="1"/>
  <c r="AE21" i="1"/>
  <c r="AZ21" i="1"/>
  <c r="Y21" i="1"/>
  <c r="X13" i="1"/>
  <c r="A33" i="1"/>
  <c r="A35" i="1" s="1"/>
  <c r="Z33" i="1"/>
  <c r="BV15" i="1"/>
  <c r="AA15" i="1" s="1"/>
  <c r="AB15" i="1" s="1"/>
  <c r="BV13" i="1"/>
  <c r="AA13" i="1" s="1"/>
  <c r="BV14" i="1"/>
  <c r="AA14" i="1" s="1"/>
  <c r="AB14" i="1" s="1"/>
  <c r="BV22" i="1"/>
  <c r="AA22" i="1" s="1"/>
  <c r="AB22" i="1" s="1"/>
  <c r="BV17" i="1"/>
  <c r="AA17" i="1" s="1"/>
  <c r="AB17" i="1" s="1"/>
  <c r="BV21" i="1"/>
  <c r="AA21" i="1" s="1"/>
  <c r="AB21" i="1" s="1"/>
  <c r="BV19" i="1"/>
  <c r="AA19" i="1" s="1"/>
  <c r="AB19" i="1" s="1"/>
  <c r="BV20" i="1"/>
  <c r="AA20" i="1" s="1"/>
  <c r="AB20" i="1" s="1"/>
  <c r="BV18" i="1"/>
  <c r="AA18" i="1" s="1"/>
  <c r="AB18" i="1" s="1"/>
  <c r="BV16" i="1"/>
  <c r="AA16" i="1" s="1"/>
  <c r="AB16" i="1" s="1"/>
  <c r="Y13" i="1"/>
  <c r="BB12" i="1"/>
  <c r="AZ13" i="1"/>
  <c r="AE13" i="1"/>
  <c r="C35" i="1"/>
  <c r="W33" i="1"/>
  <c r="AC28" i="1" l="1"/>
  <c r="AC25" i="1"/>
  <c r="AC24" i="1"/>
  <c r="AC29" i="1"/>
  <c r="AC26" i="1"/>
  <c r="AC30" i="1"/>
  <c r="AC23" i="1"/>
  <c r="AC27" i="1"/>
  <c r="AC31" i="1"/>
  <c r="AC32" i="1"/>
  <c r="AC20" i="1"/>
  <c r="AC19" i="1"/>
  <c r="AC22" i="1"/>
  <c r="AC21" i="1"/>
  <c r="AA33" i="1"/>
  <c r="AC16" i="1"/>
  <c r="AC13" i="1"/>
  <c r="AC14" i="1"/>
  <c r="AC15" i="1"/>
  <c r="AC18" i="1"/>
  <c r="AC17" i="1"/>
  <c r="AB13" i="1"/>
  <c r="AB33" i="1" s="1"/>
  <c r="AC33" i="1" l="1"/>
</calcChain>
</file>

<file path=xl/sharedStrings.xml><?xml version="1.0" encoding="utf-8"?>
<sst xmlns="http://schemas.openxmlformats.org/spreadsheetml/2006/main" count="75" uniqueCount="60">
  <si>
    <t>N</t>
  </si>
  <si>
    <t>PREFERENCE TOTALS</t>
  </si>
  <si>
    <t>Tally</t>
  </si>
  <si>
    <t>Rank</t>
  </si>
  <si>
    <t>Order</t>
  </si>
  <si>
    <t>None</t>
  </si>
  <si>
    <t>Input Data:</t>
  </si>
  <si>
    <t>Enter into Yellow cells</t>
  </si>
  <si>
    <t>Totals</t>
  </si>
  <si>
    <t>V</t>
  </si>
  <si>
    <t>Number of Valid Votes Cast (up to 1,000,000)</t>
  </si>
  <si>
    <t>Row</t>
  </si>
  <si>
    <t>Check</t>
  </si>
  <si>
    <t>Column Check</t>
  </si>
  <si>
    <t>Check messages (Valid or Error!) should be ignored until all data is entered</t>
  </si>
  <si>
    <t>Sum of</t>
  </si>
  <si>
    <t xml:space="preserve">Output Data &gt; &gt; &gt; &gt; </t>
  </si>
  <si>
    <t>Any unused (truncated) candidate preferences must be included in 'None'</t>
  </si>
  <si>
    <t>Sum of Preference Totals</t>
  </si>
  <si>
    <t>Preferences (Pn = nth Preference)</t>
  </si>
  <si>
    <t>W</t>
  </si>
  <si>
    <t>Number of Winners (usually 1 but N-1 maximum)</t>
  </si>
  <si>
    <t>Candidate</t>
  </si>
  <si>
    <t>Share</t>
  </si>
  <si>
    <t>WEIGHTED PREFERENCE TOTALS</t>
  </si>
  <si>
    <t>Compared to this Candidate's Tally (0 if &gt;, else 1)</t>
  </si>
  <si>
    <t>Compared to this Candidate's Tally (1 if &lt;, else 0)</t>
  </si>
  <si>
    <t>Ranking Table</t>
  </si>
  <si>
    <t>End</t>
  </si>
  <si>
    <t>Tally Share Bar Chart</t>
  </si>
  <si>
    <t>Weighting of Preference (Lowest = 1)</t>
  </si>
  <si>
    <t>Election</t>
  </si>
  <si>
    <t>Outcome</t>
  </si>
  <si>
    <t>Sum of Tallies</t>
  </si>
  <si>
    <t xml:space="preserve"> &lt; &lt; &lt; &lt; Input Data</t>
  </si>
  <si>
    <t xml:space="preserve">Weighted Preference Table &gt; &gt; &gt; &gt; </t>
  </si>
  <si>
    <t>&lt; &lt; &lt; &lt; Output Data</t>
  </si>
  <si>
    <t xml:space="preserve">Ranking Table &gt; &gt; &gt; &gt; </t>
  </si>
  <si>
    <t>Sum Total</t>
  </si>
  <si>
    <t>Candidates must be listed in random order (for automatic tie breaking)</t>
  </si>
  <si>
    <t xml:space="preserve"> &lt; &lt; &lt; &lt; Other Sections</t>
  </si>
  <si>
    <t>Consecutively Halved Positional Voting:   Ranked Ballot CHPV</t>
  </si>
  <si>
    <t>Leave cells blank for non-existent candidates and preferences</t>
  </si>
  <si>
    <t>Automatic</t>
  </si>
  <si>
    <t>Tie Breaking</t>
  </si>
  <si>
    <t>Candidates should</t>
  </si>
  <si>
    <t>initially be listed</t>
  </si>
  <si>
    <t>in random order as</t>
  </si>
  <si>
    <t>the candidate with</t>
  </si>
  <si>
    <t>the higher cell</t>
  </si>
  <si>
    <t>number wins the</t>
  </si>
  <si>
    <t>tie break in the</t>
  </si>
  <si>
    <t>event of a tie.</t>
  </si>
  <si>
    <t>preference table in the next section.</t>
  </si>
  <si>
    <t>For a candidate tally, the weighting of the lowest</t>
  </si>
  <si>
    <t>preference is normalised at 1; see the weighted</t>
  </si>
  <si>
    <t>Number of Candidates (from 2 to 20 inclusive)</t>
  </si>
  <si>
    <t>Output Data:</t>
  </si>
  <si>
    <t>Displayed in Green cells</t>
  </si>
  <si>
    <t>[version CHPVRB20C10E6V]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</si>
</sst>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4" xfId="0" applyNumberForma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2" xfId="0" applyNumberFormat="1" applyBorder="1"/>
    <xf numFmtId="0" fontId="0" fillId="0" borderId="0" xfId="0" applyBorder="1" applyAlignment="1"/>
    <xf numFmtId="0" fontId="0" fillId="0" borderId="26" xfId="0" applyBorder="1" applyAlignment="1">
      <alignment horizontal="center"/>
    </xf>
    <xf numFmtId="1" fontId="0" fillId="0" borderId="27" xfId="0" applyNumberFormat="1" applyFill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/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2" xfId="0" applyBorder="1"/>
    <xf numFmtId="0" fontId="0" fillId="0" borderId="30" xfId="0" applyBorder="1" applyAlignment="1">
      <alignment horizontal="center"/>
    </xf>
    <xf numFmtId="1" fontId="0" fillId="0" borderId="15" xfId="0" applyNumberFormat="1" applyBorder="1" applyAlignment="1"/>
    <xf numFmtId="1" fontId="0" fillId="0" borderId="16" xfId="0" applyNumberFormat="1" applyBorder="1" applyAlignment="1"/>
    <xf numFmtId="1" fontId="0" fillId="0" borderId="17" xfId="0" applyNumberFormat="1" applyBorder="1" applyAlignment="1"/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2" xfId="0" applyNumberFormat="1" applyBorder="1"/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3" borderId="15" xfId="0" applyNumberFormat="1" applyFill="1" applyBorder="1"/>
    <xf numFmtId="1" fontId="0" fillId="3" borderId="16" xfId="0" applyNumberFormat="1" applyFill="1" applyBorder="1"/>
    <xf numFmtId="1" fontId="0" fillId="3" borderId="17" xfId="0" applyNumberFormat="1" applyFill="1" applyBorder="1"/>
    <xf numFmtId="1" fontId="0" fillId="0" borderId="0" xfId="0" applyNumberFormat="1"/>
    <xf numFmtId="1" fontId="0" fillId="3" borderId="1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Tally_Shares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295336308059449E-2"/>
          <c:y val="0.12650153775646633"/>
          <c:w val="0.9244592237553626"/>
          <c:h val="0.7981834304846963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Lit>
              <c:ptCount val="20"/>
              <c:pt idx="0">
                <c:v>A</c:v>
              </c:pt>
              <c:pt idx="1">
                <c:v>B</c:v>
              </c:pt>
              <c:pt idx="2">
                <c:v>C</c:v>
              </c:pt>
              <c:pt idx="3">
                <c:v>D</c:v>
              </c:pt>
              <c:pt idx="4">
                <c:v>E</c:v>
              </c:pt>
              <c:pt idx="5">
                <c:v>F</c:v>
              </c:pt>
              <c:pt idx="6">
                <c:v>G</c:v>
              </c:pt>
              <c:pt idx="7">
                <c:v>H</c:v>
              </c:pt>
              <c:pt idx="8">
                <c:v>I</c:v>
              </c:pt>
              <c:pt idx="9">
                <c:v>J</c:v>
              </c:pt>
              <c:pt idx="10">
                <c:v>K</c:v>
              </c:pt>
              <c:pt idx="11">
                <c:v>L</c:v>
              </c:pt>
              <c:pt idx="12">
                <c:v>M</c:v>
              </c:pt>
              <c:pt idx="13">
                <c:v>N</c:v>
              </c:pt>
              <c:pt idx="14">
                <c:v>O</c:v>
              </c:pt>
              <c:pt idx="15">
                <c:v>P</c:v>
              </c:pt>
              <c:pt idx="16">
                <c:v>Q</c:v>
              </c:pt>
              <c:pt idx="17">
                <c:v>R</c:v>
              </c:pt>
              <c:pt idx="18">
                <c:v>S</c:v>
              </c:pt>
              <c:pt idx="19">
                <c:v>T</c:v>
              </c:pt>
            </c:strLit>
          </c:cat>
          <c:val>
            <c:numRef>
              <c:f>Sheet1!$AC$13:$AC$32</c:f>
              <c:numCache>
                <c:formatCode>0.000000</c:formatCode>
                <c:ptCount val="20"/>
                <c:pt idx="0">
                  <c:v>0.15498710232158211</c:v>
                </c:pt>
                <c:pt idx="1">
                  <c:v>0.16820722269991401</c:v>
                </c:pt>
                <c:pt idx="2">
                  <c:v>0.18217970765262254</c:v>
                </c:pt>
                <c:pt idx="3">
                  <c:v>0.16272570937231298</c:v>
                </c:pt>
                <c:pt idx="4">
                  <c:v>0.16057609630266553</c:v>
                </c:pt>
                <c:pt idx="5">
                  <c:v>0.17132416165090283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C-4724-BF8C-19521F1E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71168"/>
        <c:axId val="38472704"/>
      </c:barChart>
      <c:catAx>
        <c:axId val="3847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72704"/>
        <c:crosses val="autoZero"/>
        <c:auto val="1"/>
        <c:lblAlgn val="ctr"/>
        <c:lblOffset val="100"/>
        <c:noMultiLvlLbl val="0"/>
      </c:catAx>
      <c:valAx>
        <c:axId val="3847270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3847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19048</xdr:colOff>
      <xdr:row>10</xdr:row>
      <xdr:rowOff>0</xdr:rowOff>
    </xdr:from>
    <xdr:to>
      <xdr:col>29</xdr:col>
      <xdr:colOff>13477875</xdr:colOff>
      <xdr:row>32</xdr:row>
      <xdr:rowOff>4761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36"/>
  <sheetViews>
    <sheetView tabSelected="1" workbookViewId="0">
      <selection activeCell="W9" sqref="W9"/>
    </sheetView>
  </sheetViews>
  <sheetFormatPr defaultRowHeight="15" x14ac:dyDescent="0.25"/>
  <cols>
    <col min="1" max="1" width="10.42578125" style="1" customWidth="1"/>
    <col min="2" max="23" width="11.28515625" customWidth="1"/>
    <col min="24" max="24" width="8.7109375" style="1" customWidth="1"/>
    <col min="25" max="25" width="12.140625" style="1" customWidth="1"/>
    <col min="26" max="26" width="17.140625" customWidth="1"/>
    <col min="27" max="27" width="9.140625" customWidth="1"/>
    <col min="28" max="28" width="11.85546875" customWidth="1"/>
    <col min="29" max="29" width="14.28515625" customWidth="1"/>
    <col min="30" max="30" width="202.7109375" customWidth="1"/>
    <col min="31" max="31" width="11.140625" customWidth="1"/>
    <col min="32" max="34" width="14.7109375" customWidth="1"/>
    <col min="35" max="41" width="13.7109375" customWidth="1"/>
    <col min="42" max="44" width="12.7109375" customWidth="1"/>
    <col min="45" max="47" width="11.7109375" customWidth="1"/>
    <col min="48" max="51" width="10.7109375" customWidth="1"/>
    <col min="52" max="52" width="11.140625" customWidth="1"/>
    <col min="53" max="53" width="17.140625" customWidth="1"/>
    <col min="54" max="73" width="3.7109375" customWidth="1"/>
    <col min="75" max="75" width="17.140625" style="1" customWidth="1"/>
    <col min="76" max="76" width="9.140625" customWidth="1"/>
  </cols>
  <sheetData>
    <row r="1" spans="1:76" x14ac:dyDescent="0.25">
      <c r="A1" s="78" t="s">
        <v>41</v>
      </c>
      <c r="B1" s="78"/>
      <c r="C1" s="78"/>
      <c r="D1" s="78"/>
      <c r="E1" s="78"/>
      <c r="F1" s="79" t="s">
        <v>59</v>
      </c>
      <c r="X1" s="3" t="s">
        <v>16</v>
      </c>
      <c r="Y1" s="2" t="s">
        <v>34</v>
      </c>
      <c r="AD1" s="3" t="s">
        <v>35</v>
      </c>
      <c r="AE1" t="s">
        <v>34</v>
      </c>
      <c r="AY1" s="3" t="s">
        <v>37</v>
      </c>
      <c r="AZ1" t="s">
        <v>40</v>
      </c>
      <c r="BW1" s="3" t="s">
        <v>28</v>
      </c>
      <c r="BX1" s="3"/>
    </row>
    <row r="2" spans="1:76" x14ac:dyDescent="0.25">
      <c r="J2" t="s">
        <v>14</v>
      </c>
      <c r="AD2" s="3" t="s">
        <v>37</v>
      </c>
      <c r="AE2" t="s">
        <v>36</v>
      </c>
    </row>
    <row r="3" spans="1:76" x14ac:dyDescent="0.25">
      <c r="A3" s="76" t="s">
        <v>6</v>
      </c>
      <c r="B3" s="77" t="s">
        <v>7</v>
      </c>
      <c r="J3" t="s">
        <v>39</v>
      </c>
      <c r="Y3" s="77" t="s">
        <v>57</v>
      </c>
      <c r="Z3" s="77" t="s">
        <v>58</v>
      </c>
      <c r="AD3" s="3"/>
    </row>
    <row r="4" spans="1:76" x14ac:dyDescent="0.25">
      <c r="A4" s="2"/>
      <c r="J4" t="s">
        <v>42</v>
      </c>
    </row>
    <row r="5" spans="1:76" ht="15.75" thickBot="1" x14ac:dyDescent="0.3">
      <c r="A5" s="2"/>
      <c r="J5" t="s">
        <v>17</v>
      </c>
    </row>
    <row r="6" spans="1:76" ht="15.75" thickBot="1" x14ac:dyDescent="0.3">
      <c r="A6" s="11" t="s">
        <v>20</v>
      </c>
      <c r="B6" t="s">
        <v>21</v>
      </c>
    </row>
    <row r="7" spans="1:76" ht="15.75" thickBot="1" x14ac:dyDescent="0.3">
      <c r="A7" s="50">
        <v>1</v>
      </c>
      <c r="B7" t="str">
        <f>IF(OR($A$7&lt;1,$A$7&gt;$A$9-1),"Error!","Valid")</f>
        <v>Valid</v>
      </c>
      <c r="Y7" t="s">
        <v>54</v>
      </c>
    </row>
    <row r="8" spans="1:76" ht="15.75" thickBot="1" x14ac:dyDescent="0.3">
      <c r="A8" s="8" t="s">
        <v>0</v>
      </c>
      <c r="B8" t="s">
        <v>56</v>
      </c>
      <c r="V8" s="3" t="s">
        <v>10</v>
      </c>
      <c r="W8" s="11" t="s">
        <v>9</v>
      </c>
      <c r="X8" s="13"/>
      <c r="Y8" s="2" t="s">
        <v>55</v>
      </c>
    </row>
    <row r="9" spans="1:76" ht="15.75" thickBot="1" x14ac:dyDescent="0.3">
      <c r="A9" s="51">
        <v>6</v>
      </c>
      <c r="B9" t="str">
        <f>IF(OR($A$9&gt;20,$A$9&lt;2),"Error!","Valid")</f>
        <v>Valid</v>
      </c>
      <c r="V9" s="3" t="str">
        <f>IF(OR($W$9&gt;1000000,$W$9&lt;1),"Error!","Valid")</f>
        <v>Valid</v>
      </c>
      <c r="W9" s="52">
        <v>15000</v>
      </c>
      <c r="X9" s="21"/>
      <c r="Y9" s="2" t="s">
        <v>53</v>
      </c>
    </row>
    <row r="10" spans="1:76" ht="15.75" thickBot="1" x14ac:dyDescent="0.3">
      <c r="B10" s="85" t="s">
        <v>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18"/>
      <c r="X10" s="13"/>
      <c r="Y10" s="13"/>
      <c r="AD10" s="44"/>
      <c r="AF10" s="85" t="s">
        <v>24</v>
      </c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2"/>
      <c r="BB10" s="80" t="s">
        <v>27</v>
      </c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2"/>
    </row>
    <row r="11" spans="1:76" s="1" customFormat="1" ht="15.75" thickBot="1" x14ac:dyDescent="0.3">
      <c r="A11" s="83" t="s">
        <v>22</v>
      </c>
      <c r="B11" s="81" t="s">
        <v>19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" t="s">
        <v>15</v>
      </c>
      <c r="X11" s="8" t="s">
        <v>11</v>
      </c>
      <c r="Y11" s="8" t="s">
        <v>22</v>
      </c>
      <c r="Z11" s="14" t="s">
        <v>22</v>
      </c>
      <c r="AA11" s="8" t="s">
        <v>3</v>
      </c>
      <c r="AB11" s="8" t="s">
        <v>31</v>
      </c>
      <c r="AC11" s="8" t="s">
        <v>2</v>
      </c>
      <c r="AD11" s="37" t="s">
        <v>29</v>
      </c>
      <c r="AE11" s="83" t="s">
        <v>22</v>
      </c>
      <c r="AF11" s="81" t="s">
        <v>19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  <c r="AZ11" s="83" t="s">
        <v>22</v>
      </c>
      <c r="BA11" s="34" t="s">
        <v>22</v>
      </c>
      <c r="BB11" s="80" t="s">
        <v>25</v>
      </c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2"/>
      <c r="BV11" s="14" t="s">
        <v>3</v>
      </c>
      <c r="BW11" s="45" t="s">
        <v>43</v>
      </c>
    </row>
    <row r="12" spans="1:76" s="1" customFormat="1" ht="15.75" thickBot="1" x14ac:dyDescent="0.3">
      <c r="A12" s="84"/>
      <c r="B12" s="23" t="str">
        <f>IF($A$9&gt;0,"P1","---")</f>
        <v>P1</v>
      </c>
      <c r="C12" s="23" t="str">
        <f>IF($A$9&gt;1,"P2","---")</f>
        <v>P2</v>
      </c>
      <c r="D12" s="23" t="str">
        <f>IF($A$9&gt;2,"P3","---")</f>
        <v>P3</v>
      </c>
      <c r="E12" s="23" t="str">
        <f>IF($A$9&gt;3,"P4","---")</f>
        <v>P4</v>
      </c>
      <c r="F12" s="23" t="str">
        <f>IF($A$9&gt;4,"P5","---")</f>
        <v>P5</v>
      </c>
      <c r="G12" s="23" t="str">
        <f>IF($A$9&gt;5,"P6","---")</f>
        <v>P6</v>
      </c>
      <c r="H12" s="23" t="str">
        <f>IF($A$9&gt;6,"P7","---")</f>
        <v>---</v>
      </c>
      <c r="I12" s="23" t="str">
        <f>IF($A$9&gt;7,"P8","---")</f>
        <v>---</v>
      </c>
      <c r="J12" s="23" t="str">
        <f>IF($A$9&gt;8,"P9","---")</f>
        <v>---</v>
      </c>
      <c r="K12" s="23" t="str">
        <f>IF($A$9&gt;9,"P10","---")</f>
        <v>---</v>
      </c>
      <c r="L12" s="23" t="str">
        <f>IF($A$9&gt;10,"P11","---")</f>
        <v>---</v>
      </c>
      <c r="M12" s="23" t="str">
        <f>IF($A$9&gt;11,"P12","---")</f>
        <v>---</v>
      </c>
      <c r="N12" s="23" t="str">
        <f>IF($A$9&gt;12,"P13","---")</f>
        <v>---</v>
      </c>
      <c r="O12" s="23" t="str">
        <f>IF($A$9&gt;13,"P14","---")</f>
        <v>---</v>
      </c>
      <c r="P12" s="23" t="str">
        <f>IF($A$9&gt;14,"P15","---")</f>
        <v>---</v>
      </c>
      <c r="Q12" s="23" t="str">
        <f>IF($A$9&gt;15,"P16","---")</f>
        <v>---</v>
      </c>
      <c r="R12" s="23" t="str">
        <f>IF($A$9&gt;16,"P17","---")</f>
        <v>---</v>
      </c>
      <c r="S12" s="23" t="str">
        <f>IF($A$9&gt;17,"P18","---")</f>
        <v>---</v>
      </c>
      <c r="T12" s="23" t="str">
        <f>IF($A$9&gt;18,"P19","---")</f>
        <v>---</v>
      </c>
      <c r="U12" s="23" t="str">
        <f>IF($A$9&gt;19,"P20","---")</f>
        <v>---</v>
      </c>
      <c r="V12" s="19" t="s">
        <v>5</v>
      </c>
      <c r="W12" s="10" t="s">
        <v>8</v>
      </c>
      <c r="X12" s="10" t="s">
        <v>12</v>
      </c>
      <c r="Y12" s="10"/>
      <c r="Z12" s="15" t="s">
        <v>2</v>
      </c>
      <c r="AA12" s="9" t="s">
        <v>4</v>
      </c>
      <c r="AB12" s="9" t="s">
        <v>32</v>
      </c>
      <c r="AC12" s="9" t="s">
        <v>23</v>
      </c>
      <c r="AD12" s="37"/>
      <c r="AE12" s="84"/>
      <c r="AF12" s="11" t="str">
        <f t="shared" ref="AF12" si="0">B12</f>
        <v>P1</v>
      </c>
      <c r="AG12" s="11" t="str">
        <f t="shared" ref="AG12" si="1">C12</f>
        <v>P2</v>
      </c>
      <c r="AH12" s="11" t="str">
        <f t="shared" ref="AH12" si="2">D12</f>
        <v>P3</v>
      </c>
      <c r="AI12" s="11" t="str">
        <f t="shared" ref="AI12" si="3">E12</f>
        <v>P4</v>
      </c>
      <c r="AJ12" s="11" t="str">
        <f t="shared" ref="AJ12" si="4">F12</f>
        <v>P5</v>
      </c>
      <c r="AK12" s="11" t="str">
        <f t="shared" ref="AK12" si="5">G12</f>
        <v>P6</v>
      </c>
      <c r="AL12" s="11" t="str">
        <f t="shared" ref="AL12" si="6">H12</f>
        <v>---</v>
      </c>
      <c r="AM12" s="11" t="str">
        <f t="shared" ref="AM12" si="7">I12</f>
        <v>---</v>
      </c>
      <c r="AN12" s="11" t="str">
        <f t="shared" ref="AN12" si="8">J12</f>
        <v>---</v>
      </c>
      <c r="AO12" s="11" t="str">
        <f t="shared" ref="AO12" si="9">K12</f>
        <v>---</v>
      </c>
      <c r="AP12" s="11" t="str">
        <f t="shared" ref="AP12" si="10">L12</f>
        <v>---</v>
      </c>
      <c r="AQ12" s="11" t="str">
        <f t="shared" ref="AQ12" si="11">M12</f>
        <v>---</v>
      </c>
      <c r="AR12" s="11" t="str">
        <f t="shared" ref="AR12" si="12">N12</f>
        <v>---</v>
      </c>
      <c r="AS12" s="11" t="str">
        <f t="shared" ref="AS12" si="13">O12</f>
        <v>---</v>
      </c>
      <c r="AT12" s="11" t="str">
        <f t="shared" ref="AT12" si="14">P12</f>
        <v>---</v>
      </c>
      <c r="AU12" s="11" t="str">
        <f t="shared" ref="AU12" si="15">Q12</f>
        <v>---</v>
      </c>
      <c r="AV12" s="11" t="str">
        <f t="shared" ref="AV12" si="16">R12</f>
        <v>---</v>
      </c>
      <c r="AW12" s="11" t="str">
        <f t="shared" ref="AW12" si="17">S12</f>
        <v>---</v>
      </c>
      <c r="AX12" s="11" t="str">
        <f t="shared" ref="AX12" si="18">T12</f>
        <v>---</v>
      </c>
      <c r="AY12" s="11" t="str">
        <f t="shared" ref="AY12" si="19">U12</f>
        <v>---</v>
      </c>
      <c r="AZ12" s="84"/>
      <c r="BA12" s="9" t="s">
        <v>2</v>
      </c>
      <c r="BB12" s="4" t="str">
        <f>A13</f>
        <v>A</v>
      </c>
      <c r="BC12" s="5" t="str">
        <f>A14</f>
        <v>B</v>
      </c>
      <c r="BD12" s="5" t="str">
        <f>A15</f>
        <v>C</v>
      </c>
      <c r="BE12" s="5" t="str">
        <f>A16</f>
        <v>D</v>
      </c>
      <c r="BF12" s="5" t="str">
        <f>A17</f>
        <v>E</v>
      </c>
      <c r="BG12" s="5" t="str">
        <f>A18</f>
        <v>F</v>
      </c>
      <c r="BH12" s="5" t="str">
        <f>A19</f>
        <v>---</v>
      </c>
      <c r="BI12" s="5" t="str">
        <f>A20</f>
        <v>---</v>
      </c>
      <c r="BJ12" s="5" t="str">
        <f>A21</f>
        <v>---</v>
      </c>
      <c r="BK12" s="5" t="str">
        <f>A22</f>
        <v>---</v>
      </c>
      <c r="BL12" s="5" t="str">
        <f>A23</f>
        <v>---</v>
      </c>
      <c r="BM12" s="5" t="str">
        <f>A24</f>
        <v>---</v>
      </c>
      <c r="BN12" s="5" t="str">
        <f>A25</f>
        <v>---</v>
      </c>
      <c r="BO12" s="5" t="str">
        <f>A26</f>
        <v>---</v>
      </c>
      <c r="BP12" s="5" t="str">
        <f>A27</f>
        <v>---</v>
      </c>
      <c r="BQ12" s="5" t="str">
        <f>A28</f>
        <v>---</v>
      </c>
      <c r="BR12" s="5" t="str">
        <f>A29</f>
        <v>---</v>
      </c>
      <c r="BS12" s="5" t="str">
        <f>A30</f>
        <v>---</v>
      </c>
      <c r="BT12" s="5" t="str">
        <f>A31</f>
        <v>---</v>
      </c>
      <c r="BU12" s="6" t="str">
        <f>A32</f>
        <v>---</v>
      </c>
      <c r="BV12" s="9" t="s">
        <v>4</v>
      </c>
      <c r="BW12" s="45" t="s">
        <v>44</v>
      </c>
      <c r="BX12" s="45"/>
    </row>
    <row r="13" spans="1:76" x14ac:dyDescent="0.25">
      <c r="A13" s="24" t="str">
        <f>IF($A$9&gt;0,"A","---")</f>
        <v>A</v>
      </c>
      <c r="B13" s="53">
        <v>2200</v>
      </c>
      <c r="C13" s="54">
        <v>2200</v>
      </c>
      <c r="D13" s="54">
        <v>2400</v>
      </c>
      <c r="E13" s="54">
        <v>3100</v>
      </c>
      <c r="F13" s="54">
        <v>2500</v>
      </c>
      <c r="G13" s="54">
        <v>2000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5">
        <v>600</v>
      </c>
      <c r="W13" s="20">
        <f>SUM(B13:V13)</f>
        <v>15000</v>
      </c>
      <c r="X13" s="62" t="str">
        <f>IF(OR($W$9&lt;W13,AND(1-COUNTIF(A13,"---"),$W$9&gt;W13),AND(COUNTIF(A13,"---"),W13&gt;0)),"Error!","Valid")</f>
        <v>Valid</v>
      </c>
      <c r="Y13" s="62" t="str">
        <f t="shared" ref="Y13:Y32" si="20">A13</f>
        <v>A</v>
      </c>
      <c r="Z13" s="66">
        <f>IF($A$9&gt;0,BA13,"")</f>
        <v>144200</v>
      </c>
      <c r="AA13" s="70">
        <f>IF($A$9&gt;0,BV13,"")</f>
        <v>6</v>
      </c>
      <c r="AB13" s="73" t="str">
        <f>IF(AND(AA13&gt;0,AA13&lt;$A$7+1),"Winner","")</f>
        <v/>
      </c>
      <c r="AC13" s="46">
        <f t="shared" ref="AC13:AC32" si="21">IF(Z13="","",Z13/$Z$33)</f>
        <v>0.15498710232158211</v>
      </c>
      <c r="AD13" s="44"/>
      <c r="AE13" s="26" t="str">
        <f t="shared" ref="AE13:AE32" si="22">A13</f>
        <v>A</v>
      </c>
      <c r="AF13" s="36">
        <f t="shared" ref="AF13:AF22" si="23">B13*$AF$33</f>
        <v>70400</v>
      </c>
      <c r="AG13" s="25">
        <f t="shared" ref="AG13:AG22" si="24">C13*$AG$33</f>
        <v>35200</v>
      </c>
      <c r="AH13" s="25">
        <f t="shared" ref="AH13:AH22" si="25">D13*$AH$33</f>
        <v>19200</v>
      </c>
      <c r="AI13" s="25">
        <f t="shared" ref="AI13:AI22" si="26">E13*$AI$33</f>
        <v>12400</v>
      </c>
      <c r="AJ13" s="25">
        <f t="shared" ref="AJ13:AJ22" si="27">F13*$AJ$33</f>
        <v>5000</v>
      </c>
      <c r="AK13" s="25">
        <f t="shared" ref="AK13:AK22" si="28">G13*$AK$33</f>
        <v>2000</v>
      </c>
      <c r="AL13" s="25">
        <f t="shared" ref="AL13:AL22" si="29">H13*$AL$33</f>
        <v>0</v>
      </c>
      <c r="AM13" s="25">
        <f t="shared" ref="AM13:AM22" si="30">I13*$AM$33</f>
        <v>0</v>
      </c>
      <c r="AN13" s="25">
        <f t="shared" ref="AN13:AN22" si="31">J13*$AN$33</f>
        <v>0</v>
      </c>
      <c r="AO13" s="25">
        <f t="shared" ref="AO13:AO22" si="32">K13*$AO$33</f>
        <v>0</v>
      </c>
      <c r="AP13" s="36">
        <f>L13*$AP$33</f>
        <v>0</v>
      </c>
      <c r="AQ13" s="25">
        <f>M13*$AQ$33</f>
        <v>0</v>
      </c>
      <c r="AR13" s="25">
        <f>N13*$AR$33</f>
        <v>0</v>
      </c>
      <c r="AS13" s="25">
        <f>O13*$AS$33</f>
        <v>0</v>
      </c>
      <c r="AT13" s="25">
        <f>P13*$AT$33</f>
        <v>0</v>
      </c>
      <c r="AU13" s="25">
        <f>Q13*$AU$33</f>
        <v>0</v>
      </c>
      <c r="AV13" s="25">
        <f>R13*$AV$33</f>
        <v>0</v>
      </c>
      <c r="AW13" s="25">
        <f>S13*$AW$33</f>
        <v>0</v>
      </c>
      <c r="AX13" s="25">
        <f>T13*$AX$33</f>
        <v>0</v>
      </c>
      <c r="AY13" s="25">
        <f>U13*$AY$33</f>
        <v>0</v>
      </c>
      <c r="AZ13" s="26" t="str">
        <f t="shared" ref="AZ13:AZ32" si="33">A13</f>
        <v>A</v>
      </c>
      <c r="BA13" s="38">
        <f>SUM(AF13:AY13)</f>
        <v>144200</v>
      </c>
      <c r="BB13" s="31">
        <v>1</v>
      </c>
      <c r="BC13" s="32">
        <f>IF($BA13&gt;$BA14,0,1)</f>
        <v>1</v>
      </c>
      <c r="BD13" s="32">
        <f>IF($BA13&gt;$BA15,0,1)</f>
        <v>1</v>
      </c>
      <c r="BE13" s="32">
        <f>IF($BA13&gt;$BA16,0,1)</f>
        <v>1</v>
      </c>
      <c r="BF13" s="32">
        <f>IF($BA13&gt;$BA17,0,1)</f>
        <v>1</v>
      </c>
      <c r="BG13" s="32">
        <f>IF($BA13&gt;$BA18,0,1)</f>
        <v>1</v>
      </c>
      <c r="BH13" s="32">
        <f>IF($BA13&gt;$BA19,0,1)</f>
        <v>0</v>
      </c>
      <c r="BI13" s="32">
        <f>IF($BA13&gt;$BA20,0,1)</f>
        <v>0</v>
      </c>
      <c r="BJ13" s="32">
        <f>IF($BA13&gt;$BA21,0,1)</f>
        <v>0</v>
      </c>
      <c r="BK13" s="32">
        <f>IF($BA13&gt;$BA22,0,1)</f>
        <v>0</v>
      </c>
      <c r="BL13" s="32">
        <f>IF($BA13&gt;$BA23,0,1)</f>
        <v>0</v>
      </c>
      <c r="BM13" s="32">
        <f>IF($BA13&gt;$BA24,0,1)</f>
        <v>0</v>
      </c>
      <c r="BN13" s="32">
        <f>IF($BA13&gt;$BA25,0,1)</f>
        <v>0</v>
      </c>
      <c r="BO13" s="32">
        <f>IF($BA13&gt;$BA26,0,1)</f>
        <v>0</v>
      </c>
      <c r="BP13" s="32">
        <f>IF($BA13&gt;$BA27,0,1)</f>
        <v>0</v>
      </c>
      <c r="BQ13" s="32">
        <f>IF($BA13&gt;$BA28,0,1)</f>
        <v>0</v>
      </c>
      <c r="BR13" s="32">
        <f>IF($BA13&gt;$BA29,0,1)</f>
        <v>0</v>
      </c>
      <c r="BS13" s="32">
        <f>IF($BA13&gt;$BA30,0,1)</f>
        <v>0</v>
      </c>
      <c r="BT13" s="32">
        <f>IF($BA13&gt;$BA31,0,1)</f>
        <v>0</v>
      </c>
      <c r="BU13" s="32">
        <f>IF($BA13&gt;$BA32,0,1)</f>
        <v>0</v>
      </c>
      <c r="BV13" s="41">
        <f>SUM(BB13:BU13)</f>
        <v>6</v>
      </c>
      <c r="BW13" s="1" t="s">
        <v>45</v>
      </c>
      <c r="BX13" s="1"/>
    </row>
    <row r="14" spans="1:76" x14ac:dyDescent="0.25">
      <c r="A14" s="7" t="str">
        <f>IF($A$9&gt;1,"B","---")</f>
        <v>B</v>
      </c>
      <c r="B14" s="56">
        <v>2400</v>
      </c>
      <c r="C14" s="57">
        <v>2800</v>
      </c>
      <c r="D14" s="57">
        <v>2300</v>
      </c>
      <c r="E14" s="57">
        <v>2300</v>
      </c>
      <c r="F14" s="57">
        <v>2800</v>
      </c>
      <c r="G14" s="57">
        <v>1700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>
        <v>700</v>
      </c>
      <c r="W14" s="20">
        <f t="shared" ref="W14:W32" si="34">SUM(B14:V14)</f>
        <v>15000</v>
      </c>
      <c r="X14" s="63" t="str">
        <f t="shared" ref="X14:X32" si="35">IF(OR($W$9&lt;W14,AND(1-COUNTIF(A14,"---"),$W$9&gt;W14),AND(COUNTIF(A14,"---"),W14&gt;0)),"Error!","Valid")</f>
        <v>Valid</v>
      </c>
      <c r="Y14" s="63" t="str">
        <f t="shared" si="20"/>
        <v>B</v>
      </c>
      <c r="Z14" s="67">
        <f>IF($A$9&gt;1,BA14,"")</f>
        <v>156500</v>
      </c>
      <c r="AA14" s="71">
        <f>IF($A$9&gt;1,BV14,"")</f>
        <v>3</v>
      </c>
      <c r="AB14" s="74" t="str">
        <f t="shared" ref="AB14:AB32" si="36">IF(AND(AA14&gt;0,AA14&lt;$A$7+1),"Winner","")</f>
        <v/>
      </c>
      <c r="AC14" s="47">
        <f t="shared" si="21"/>
        <v>0.16820722269991401</v>
      </c>
      <c r="AD14" s="44"/>
      <c r="AE14" s="27" t="str">
        <f t="shared" si="22"/>
        <v>B</v>
      </c>
      <c r="AF14" s="36">
        <f t="shared" si="23"/>
        <v>76800</v>
      </c>
      <c r="AG14" s="25">
        <f t="shared" si="24"/>
        <v>44800</v>
      </c>
      <c r="AH14" s="25">
        <f t="shared" si="25"/>
        <v>18400</v>
      </c>
      <c r="AI14" s="25">
        <f t="shared" si="26"/>
        <v>9200</v>
      </c>
      <c r="AJ14" s="25">
        <f t="shared" si="27"/>
        <v>5600</v>
      </c>
      <c r="AK14" s="25">
        <f t="shared" si="28"/>
        <v>1700</v>
      </c>
      <c r="AL14" s="25">
        <f t="shared" si="29"/>
        <v>0</v>
      </c>
      <c r="AM14" s="25">
        <f t="shared" si="30"/>
        <v>0</v>
      </c>
      <c r="AN14" s="25">
        <f t="shared" si="31"/>
        <v>0</v>
      </c>
      <c r="AO14" s="25">
        <f t="shared" si="32"/>
        <v>0</v>
      </c>
      <c r="AP14" s="36">
        <f t="shared" ref="AP14:AP32" si="37">L14*$AP$33</f>
        <v>0</v>
      </c>
      <c r="AQ14" s="25">
        <f t="shared" ref="AQ14:AQ32" si="38">M14*$AQ$33</f>
        <v>0</v>
      </c>
      <c r="AR14" s="25">
        <f t="shared" ref="AR14:AR32" si="39">N14*$AR$33</f>
        <v>0</v>
      </c>
      <c r="AS14" s="25">
        <f t="shared" ref="AS14:AS32" si="40">O14*$AS$33</f>
        <v>0</v>
      </c>
      <c r="AT14" s="25">
        <f t="shared" ref="AT14:AT32" si="41">P14*$AT$33</f>
        <v>0</v>
      </c>
      <c r="AU14" s="25">
        <f t="shared" ref="AU14:AU32" si="42">Q14*$AU$33</f>
        <v>0</v>
      </c>
      <c r="AV14" s="25">
        <f t="shared" ref="AV14:AV32" si="43">R14*$AV$33</f>
        <v>0</v>
      </c>
      <c r="AW14" s="25">
        <f t="shared" ref="AW14:AW32" si="44">S14*$AW$33</f>
        <v>0</v>
      </c>
      <c r="AX14" s="25">
        <f t="shared" ref="AX14:AX32" si="45">T14*$AX$33</f>
        <v>0</v>
      </c>
      <c r="AY14" s="25">
        <f t="shared" ref="AY14:AY32" si="46">U14*$AY$33</f>
        <v>0</v>
      </c>
      <c r="AZ14" s="27" t="str">
        <f t="shared" si="33"/>
        <v>B</v>
      </c>
      <c r="BA14" s="39">
        <f t="shared" ref="BA14:BA32" si="47">SUM(AF14:AY14)</f>
        <v>156500</v>
      </c>
      <c r="BB14" s="30">
        <f>IF($BA14&lt;$BA13,1,0)</f>
        <v>0</v>
      </c>
      <c r="BC14" s="29">
        <v>1</v>
      </c>
      <c r="BD14" s="32">
        <f>IF($BA14&gt;$BA15,0,1)</f>
        <v>1</v>
      </c>
      <c r="BE14" s="32">
        <f>IF($BA14&gt;$BA16,0,1)</f>
        <v>0</v>
      </c>
      <c r="BF14" s="32">
        <f>IF($BA14&gt;$BA17,0,1)</f>
        <v>0</v>
      </c>
      <c r="BG14" s="32">
        <f>IF($BA14&gt;$BA18,0,1)</f>
        <v>1</v>
      </c>
      <c r="BH14" s="32">
        <f>IF($BA14&gt;$BA19,0,1)</f>
        <v>0</v>
      </c>
      <c r="BI14" s="32">
        <f>IF($BA14&gt;$BA20,0,1)</f>
        <v>0</v>
      </c>
      <c r="BJ14" s="32">
        <f>IF($BA14&gt;$BA21,0,1)</f>
        <v>0</v>
      </c>
      <c r="BK14" s="32">
        <f>IF($BA14&gt;$BA22,0,1)</f>
        <v>0</v>
      </c>
      <c r="BL14" s="32">
        <f>IF($BA14&gt;$BA23,0,1)</f>
        <v>0</v>
      </c>
      <c r="BM14" s="32">
        <f>IF($BA14&gt;$BA24,0,1)</f>
        <v>0</v>
      </c>
      <c r="BN14" s="32">
        <f>IF($BA14&gt;$BA25,0,1)</f>
        <v>0</v>
      </c>
      <c r="BO14" s="32">
        <f>IF($BA14&gt;$BA26,0,1)</f>
        <v>0</v>
      </c>
      <c r="BP14" s="32">
        <f>IF($BA14&gt;$BA27,0,1)</f>
        <v>0</v>
      </c>
      <c r="BQ14" s="32">
        <f>IF($BA14&gt;$BA28,0,1)</f>
        <v>0</v>
      </c>
      <c r="BR14" s="32">
        <f>IF($BA14&gt;$BA29,0,1)</f>
        <v>0</v>
      </c>
      <c r="BS14" s="32">
        <f>IF($BA14&gt;$BA30,0,1)</f>
        <v>0</v>
      </c>
      <c r="BT14" s="32">
        <f>IF($BA14&gt;$BA31,0,1)</f>
        <v>0</v>
      </c>
      <c r="BU14" s="32">
        <f>IF($BA14&gt;$BA32,0,1)</f>
        <v>0</v>
      </c>
      <c r="BV14" s="42">
        <f t="shared" ref="BV14:BV32" si="48">SUM(BB14:BU14)</f>
        <v>3</v>
      </c>
      <c r="BW14" s="1" t="s">
        <v>46</v>
      </c>
      <c r="BX14" s="1"/>
    </row>
    <row r="15" spans="1:76" x14ac:dyDescent="0.25">
      <c r="A15" s="7" t="str">
        <f>IF($A$9&gt;2,"C","---")</f>
        <v>C</v>
      </c>
      <c r="B15" s="56">
        <v>2600</v>
      </c>
      <c r="C15" s="57">
        <v>3300</v>
      </c>
      <c r="D15" s="57">
        <v>2800</v>
      </c>
      <c r="E15" s="57">
        <v>1300</v>
      </c>
      <c r="F15" s="57">
        <v>2200</v>
      </c>
      <c r="G15" s="57">
        <v>1500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>
        <v>1300</v>
      </c>
      <c r="W15" s="20">
        <f t="shared" si="34"/>
        <v>15000</v>
      </c>
      <c r="X15" s="63" t="str">
        <f t="shared" si="35"/>
        <v>Valid</v>
      </c>
      <c r="Y15" s="63" t="str">
        <f t="shared" si="20"/>
        <v>C</v>
      </c>
      <c r="Z15" s="67">
        <f>IF($A$9&gt;2,BA15,"")</f>
        <v>169500</v>
      </c>
      <c r="AA15" s="71">
        <f>IF($A$9&gt;2,BV15,"")</f>
        <v>1</v>
      </c>
      <c r="AB15" s="74" t="str">
        <f t="shared" si="36"/>
        <v>Winner</v>
      </c>
      <c r="AC15" s="47">
        <f t="shared" si="21"/>
        <v>0.18217970765262254</v>
      </c>
      <c r="AD15" s="44"/>
      <c r="AE15" s="27" t="str">
        <f t="shared" si="22"/>
        <v>C</v>
      </c>
      <c r="AF15" s="36">
        <f t="shared" si="23"/>
        <v>83200</v>
      </c>
      <c r="AG15" s="25">
        <f t="shared" si="24"/>
        <v>52800</v>
      </c>
      <c r="AH15" s="25">
        <f t="shared" si="25"/>
        <v>22400</v>
      </c>
      <c r="AI15" s="25">
        <f t="shared" si="26"/>
        <v>5200</v>
      </c>
      <c r="AJ15" s="25">
        <f t="shared" si="27"/>
        <v>4400</v>
      </c>
      <c r="AK15" s="25">
        <f t="shared" si="28"/>
        <v>1500</v>
      </c>
      <c r="AL15" s="25">
        <f t="shared" si="29"/>
        <v>0</v>
      </c>
      <c r="AM15" s="25">
        <f t="shared" si="30"/>
        <v>0</v>
      </c>
      <c r="AN15" s="25">
        <f t="shared" si="31"/>
        <v>0</v>
      </c>
      <c r="AO15" s="25">
        <f t="shared" si="32"/>
        <v>0</v>
      </c>
      <c r="AP15" s="36">
        <f t="shared" si="37"/>
        <v>0</v>
      </c>
      <c r="AQ15" s="25">
        <f t="shared" si="38"/>
        <v>0</v>
      </c>
      <c r="AR15" s="25">
        <f t="shared" si="39"/>
        <v>0</v>
      </c>
      <c r="AS15" s="25">
        <f t="shared" si="40"/>
        <v>0</v>
      </c>
      <c r="AT15" s="25">
        <f t="shared" si="41"/>
        <v>0</v>
      </c>
      <c r="AU15" s="25">
        <f t="shared" si="42"/>
        <v>0</v>
      </c>
      <c r="AV15" s="25">
        <f t="shared" si="43"/>
        <v>0</v>
      </c>
      <c r="AW15" s="25">
        <f t="shared" si="44"/>
        <v>0</v>
      </c>
      <c r="AX15" s="25">
        <f t="shared" si="45"/>
        <v>0</v>
      </c>
      <c r="AY15" s="25">
        <f t="shared" si="46"/>
        <v>0</v>
      </c>
      <c r="AZ15" s="27" t="str">
        <f t="shared" si="33"/>
        <v>C</v>
      </c>
      <c r="BA15" s="39">
        <f t="shared" si="47"/>
        <v>169500</v>
      </c>
      <c r="BB15" s="30">
        <f>IF($BA15&lt;$BA13,1,0)</f>
        <v>0</v>
      </c>
      <c r="BC15" s="30">
        <f>IF($BA15&lt;$BA14,1,0)</f>
        <v>0</v>
      </c>
      <c r="BD15" s="29">
        <v>1</v>
      </c>
      <c r="BE15" s="32">
        <f>IF($BA15&gt;$BA16,0,1)</f>
        <v>0</v>
      </c>
      <c r="BF15" s="32">
        <f>IF($BA15&gt;$BA17,0,1)</f>
        <v>0</v>
      </c>
      <c r="BG15" s="32">
        <f>IF($BA15&gt;$BA18,0,1)</f>
        <v>0</v>
      </c>
      <c r="BH15" s="32">
        <f>IF($BA15&gt;$BA19,0,1)</f>
        <v>0</v>
      </c>
      <c r="BI15" s="32">
        <f>IF($BA15&gt;$BA20,0,1)</f>
        <v>0</v>
      </c>
      <c r="BJ15" s="32">
        <f>IF($BA15&gt;$BA21,0,1)</f>
        <v>0</v>
      </c>
      <c r="BK15" s="32">
        <f>IF($BA15&gt;$BA22,0,1)</f>
        <v>0</v>
      </c>
      <c r="BL15" s="32">
        <f>IF($BA15&gt;$BA23,0,1)</f>
        <v>0</v>
      </c>
      <c r="BM15" s="32">
        <f>IF($BA15&gt;$BA24,0,1)</f>
        <v>0</v>
      </c>
      <c r="BN15" s="32">
        <f>IF($BA15&gt;$BA25,0,1)</f>
        <v>0</v>
      </c>
      <c r="BO15" s="32">
        <f>IF($BA15&gt;$BA26,0,1)</f>
        <v>0</v>
      </c>
      <c r="BP15" s="32">
        <f>IF($BA15&gt;$BA27,0,1)</f>
        <v>0</v>
      </c>
      <c r="BQ15" s="32">
        <f>IF($BA15&gt;$BA28,0,1)</f>
        <v>0</v>
      </c>
      <c r="BR15" s="32">
        <f>IF($BA15&gt;$BA29,0,1)</f>
        <v>0</v>
      </c>
      <c r="BS15" s="32">
        <f>IF($BA15&gt;$BA30,0,1)</f>
        <v>0</v>
      </c>
      <c r="BT15" s="32">
        <f>IF($BA15&gt;$BA31,0,1)</f>
        <v>0</v>
      </c>
      <c r="BU15" s="32">
        <f>IF($BA15&gt;$BA32,0,1)</f>
        <v>0</v>
      </c>
      <c r="BV15" s="42">
        <f t="shared" si="48"/>
        <v>1</v>
      </c>
      <c r="BW15" s="1" t="s">
        <v>47</v>
      </c>
      <c r="BX15" s="1"/>
    </row>
    <row r="16" spans="1:76" x14ac:dyDescent="0.25">
      <c r="A16" s="7" t="str">
        <f>IF($A$9&gt;3,"D","---")</f>
        <v>D</v>
      </c>
      <c r="B16" s="56">
        <v>2800</v>
      </c>
      <c r="C16" s="57">
        <v>1600</v>
      </c>
      <c r="D16" s="57">
        <v>2300</v>
      </c>
      <c r="E16" s="57">
        <v>3000</v>
      </c>
      <c r="F16" s="57">
        <v>1000</v>
      </c>
      <c r="G16" s="57">
        <v>3800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8">
        <v>500</v>
      </c>
      <c r="W16" s="20">
        <f t="shared" si="34"/>
        <v>15000</v>
      </c>
      <c r="X16" s="63" t="str">
        <f t="shared" si="35"/>
        <v>Valid</v>
      </c>
      <c r="Y16" s="63" t="str">
        <f t="shared" si="20"/>
        <v>D</v>
      </c>
      <c r="Z16" s="67">
        <f>IF($A$9&gt;3,BA16,"")</f>
        <v>151400</v>
      </c>
      <c r="AA16" s="71">
        <f>IF($A$9&gt;3,BV16,"")</f>
        <v>4</v>
      </c>
      <c r="AB16" s="74" t="str">
        <f t="shared" si="36"/>
        <v/>
      </c>
      <c r="AC16" s="47">
        <f t="shared" si="21"/>
        <v>0.16272570937231298</v>
      </c>
      <c r="AD16" s="44"/>
      <c r="AE16" s="27" t="str">
        <f t="shared" si="22"/>
        <v>D</v>
      </c>
      <c r="AF16" s="36">
        <f t="shared" si="23"/>
        <v>89600</v>
      </c>
      <c r="AG16" s="25">
        <f t="shared" si="24"/>
        <v>25600</v>
      </c>
      <c r="AH16" s="25">
        <f t="shared" si="25"/>
        <v>18400</v>
      </c>
      <c r="AI16" s="25">
        <f t="shared" si="26"/>
        <v>12000</v>
      </c>
      <c r="AJ16" s="25">
        <f t="shared" si="27"/>
        <v>2000</v>
      </c>
      <c r="AK16" s="25">
        <f t="shared" si="28"/>
        <v>3800</v>
      </c>
      <c r="AL16" s="25">
        <f t="shared" si="29"/>
        <v>0</v>
      </c>
      <c r="AM16" s="25">
        <f t="shared" si="30"/>
        <v>0</v>
      </c>
      <c r="AN16" s="25">
        <f t="shared" si="31"/>
        <v>0</v>
      </c>
      <c r="AO16" s="25">
        <f t="shared" si="32"/>
        <v>0</v>
      </c>
      <c r="AP16" s="36">
        <f t="shared" si="37"/>
        <v>0</v>
      </c>
      <c r="AQ16" s="25">
        <f t="shared" si="38"/>
        <v>0</v>
      </c>
      <c r="AR16" s="25">
        <f t="shared" si="39"/>
        <v>0</v>
      </c>
      <c r="AS16" s="25">
        <f t="shared" si="40"/>
        <v>0</v>
      </c>
      <c r="AT16" s="25">
        <f t="shared" si="41"/>
        <v>0</v>
      </c>
      <c r="AU16" s="25">
        <f t="shared" si="42"/>
        <v>0</v>
      </c>
      <c r="AV16" s="25">
        <f t="shared" si="43"/>
        <v>0</v>
      </c>
      <c r="AW16" s="25">
        <f t="shared" si="44"/>
        <v>0</v>
      </c>
      <c r="AX16" s="25">
        <f t="shared" si="45"/>
        <v>0</v>
      </c>
      <c r="AY16" s="25">
        <f t="shared" si="46"/>
        <v>0</v>
      </c>
      <c r="AZ16" s="27" t="str">
        <f t="shared" si="33"/>
        <v>D</v>
      </c>
      <c r="BA16" s="39">
        <f t="shared" si="47"/>
        <v>151400</v>
      </c>
      <c r="BB16" s="30">
        <f>IF($BA16&lt;$BA13,1,0)</f>
        <v>0</v>
      </c>
      <c r="BC16" s="30">
        <f>IF($BA16&lt;$BA14,1,0)</f>
        <v>1</v>
      </c>
      <c r="BD16" s="30">
        <f>IF($BA16&lt;$BA15,1,0)</f>
        <v>1</v>
      </c>
      <c r="BE16" s="29">
        <v>1</v>
      </c>
      <c r="BF16" s="32">
        <f>IF($BA16&gt;$BA17,0,1)</f>
        <v>0</v>
      </c>
      <c r="BG16" s="32">
        <f>IF($BA16&gt;$BA18,0,1)</f>
        <v>1</v>
      </c>
      <c r="BH16" s="32">
        <f>IF($BA16&gt;$BA19,0,1)</f>
        <v>0</v>
      </c>
      <c r="BI16" s="32">
        <f>IF($BA16&gt;$BA20,0,1)</f>
        <v>0</v>
      </c>
      <c r="BJ16" s="32">
        <f>IF($BA16&gt;$BA21,0,1)</f>
        <v>0</v>
      </c>
      <c r="BK16" s="32">
        <f>IF($BA16&gt;$BA22,0,1)</f>
        <v>0</v>
      </c>
      <c r="BL16" s="32">
        <f>IF($BA16&gt;$BA23,0,1)</f>
        <v>0</v>
      </c>
      <c r="BM16" s="32">
        <f>IF($BA16&gt;$BA24,0,1)</f>
        <v>0</v>
      </c>
      <c r="BN16" s="32">
        <f>IF($BA16&gt;$BA25,0,1)</f>
        <v>0</v>
      </c>
      <c r="BO16" s="32">
        <f>IF($BA16&gt;$BA26,0,1)</f>
        <v>0</v>
      </c>
      <c r="BP16" s="32">
        <f>IF($BA16&gt;$BA27,0,1)</f>
        <v>0</v>
      </c>
      <c r="BQ16" s="32">
        <f>IF($BA16&gt;$BA28,0,1)</f>
        <v>0</v>
      </c>
      <c r="BR16" s="32">
        <f>IF($BA16&gt;$BA29,0,1)</f>
        <v>0</v>
      </c>
      <c r="BS16" s="32">
        <f>IF($BA16&gt;$BA30,0,1)</f>
        <v>0</v>
      </c>
      <c r="BT16" s="32">
        <f>IF($BA16&gt;$BA31,0,1)</f>
        <v>0</v>
      </c>
      <c r="BU16" s="32">
        <f>IF($BA16&gt;$BA32,0,1)</f>
        <v>0</v>
      </c>
      <c r="BV16" s="42">
        <f t="shared" si="48"/>
        <v>4</v>
      </c>
      <c r="BW16" s="1" t="s">
        <v>48</v>
      </c>
      <c r="BX16" s="1"/>
    </row>
    <row r="17" spans="1:76" x14ac:dyDescent="0.25">
      <c r="A17" s="7" t="str">
        <f>IF($A$9&gt;4,"E","---")</f>
        <v>E</v>
      </c>
      <c r="B17" s="56">
        <v>2300</v>
      </c>
      <c r="C17" s="57">
        <v>3000</v>
      </c>
      <c r="D17" s="57">
        <v>1000</v>
      </c>
      <c r="E17" s="57">
        <v>2600</v>
      </c>
      <c r="F17" s="57">
        <v>4000</v>
      </c>
      <c r="G17" s="57">
        <v>1400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>
        <v>700</v>
      </c>
      <c r="W17" s="20">
        <f t="shared" si="34"/>
        <v>15000</v>
      </c>
      <c r="X17" s="63" t="str">
        <f t="shared" si="35"/>
        <v>Valid</v>
      </c>
      <c r="Y17" s="63" t="str">
        <f t="shared" si="20"/>
        <v>E</v>
      </c>
      <c r="Z17" s="67">
        <f>IF($A$9&gt;4,BA17,"")</f>
        <v>149400</v>
      </c>
      <c r="AA17" s="71">
        <f>IF($A$9&gt;4,BV17,"")</f>
        <v>5</v>
      </c>
      <c r="AB17" s="74" t="str">
        <f t="shared" si="36"/>
        <v/>
      </c>
      <c r="AC17" s="47">
        <f t="shared" si="21"/>
        <v>0.16057609630266553</v>
      </c>
      <c r="AD17" s="44"/>
      <c r="AE17" s="27" t="str">
        <f t="shared" si="22"/>
        <v>E</v>
      </c>
      <c r="AF17" s="36">
        <f t="shared" si="23"/>
        <v>73600</v>
      </c>
      <c r="AG17" s="25">
        <f t="shared" si="24"/>
        <v>48000</v>
      </c>
      <c r="AH17" s="25">
        <f t="shared" si="25"/>
        <v>8000</v>
      </c>
      <c r="AI17" s="25">
        <f t="shared" si="26"/>
        <v>10400</v>
      </c>
      <c r="AJ17" s="25">
        <f t="shared" si="27"/>
        <v>8000</v>
      </c>
      <c r="AK17" s="25">
        <f t="shared" si="28"/>
        <v>1400</v>
      </c>
      <c r="AL17" s="25">
        <f t="shared" si="29"/>
        <v>0</v>
      </c>
      <c r="AM17" s="25">
        <f t="shared" si="30"/>
        <v>0</v>
      </c>
      <c r="AN17" s="25">
        <f t="shared" si="31"/>
        <v>0</v>
      </c>
      <c r="AO17" s="25">
        <f t="shared" si="32"/>
        <v>0</v>
      </c>
      <c r="AP17" s="36">
        <f t="shared" si="37"/>
        <v>0</v>
      </c>
      <c r="AQ17" s="25">
        <f t="shared" si="38"/>
        <v>0</v>
      </c>
      <c r="AR17" s="25">
        <f t="shared" si="39"/>
        <v>0</v>
      </c>
      <c r="AS17" s="25">
        <f t="shared" si="40"/>
        <v>0</v>
      </c>
      <c r="AT17" s="25">
        <f t="shared" si="41"/>
        <v>0</v>
      </c>
      <c r="AU17" s="25">
        <f t="shared" si="42"/>
        <v>0</v>
      </c>
      <c r="AV17" s="25">
        <f t="shared" si="43"/>
        <v>0</v>
      </c>
      <c r="AW17" s="25">
        <f t="shared" si="44"/>
        <v>0</v>
      </c>
      <c r="AX17" s="25">
        <f t="shared" si="45"/>
        <v>0</v>
      </c>
      <c r="AY17" s="25">
        <f t="shared" si="46"/>
        <v>0</v>
      </c>
      <c r="AZ17" s="27" t="str">
        <f t="shared" si="33"/>
        <v>E</v>
      </c>
      <c r="BA17" s="39">
        <f t="shared" si="47"/>
        <v>149400</v>
      </c>
      <c r="BB17" s="30">
        <f>IF($BA17&lt;$BA13,1,0)</f>
        <v>0</v>
      </c>
      <c r="BC17" s="30">
        <f>IF($BA17&lt;$BA14,1,0)</f>
        <v>1</v>
      </c>
      <c r="BD17" s="30">
        <f>IF($BA17&lt;$BA15,1,0)</f>
        <v>1</v>
      </c>
      <c r="BE17" s="30">
        <f>IF($BA17&lt;$BA16,1,0)</f>
        <v>1</v>
      </c>
      <c r="BF17" s="29">
        <v>1</v>
      </c>
      <c r="BG17" s="32">
        <f>IF($BA17&gt;$BA18,0,1)</f>
        <v>1</v>
      </c>
      <c r="BH17" s="32">
        <f>IF($BA17&gt;$BA19,0,1)</f>
        <v>0</v>
      </c>
      <c r="BI17" s="32">
        <f>IF($BA17&gt;$BA20,0,1)</f>
        <v>0</v>
      </c>
      <c r="BJ17" s="32">
        <f>IF($BA17&gt;$BA21,0,1)</f>
        <v>0</v>
      </c>
      <c r="BK17" s="32">
        <f>IF($BA17&gt;$BA22,0,1)</f>
        <v>0</v>
      </c>
      <c r="BL17" s="32">
        <f>IF($BA17&gt;$BA23,0,1)</f>
        <v>0</v>
      </c>
      <c r="BM17" s="32">
        <f>IF($BA17&gt;$BA24,0,1)</f>
        <v>0</v>
      </c>
      <c r="BN17" s="32">
        <f>IF($BA17&gt;$BA25,0,1)</f>
        <v>0</v>
      </c>
      <c r="BO17" s="32">
        <f>IF($BA17&gt;$BA26,0,1)</f>
        <v>0</v>
      </c>
      <c r="BP17" s="32">
        <f>IF($BA17&gt;$BA27,0,1)</f>
        <v>0</v>
      </c>
      <c r="BQ17" s="32">
        <f>IF($BA17&gt;$BA28,0,1)</f>
        <v>0</v>
      </c>
      <c r="BR17" s="32">
        <f>IF($BA17&gt;$BA29,0,1)</f>
        <v>0</v>
      </c>
      <c r="BS17" s="32">
        <f>IF($BA17&gt;$BA30,0,1)</f>
        <v>0</v>
      </c>
      <c r="BT17" s="32">
        <f>IF($BA17&gt;$BA31,0,1)</f>
        <v>0</v>
      </c>
      <c r="BU17" s="32">
        <f>IF($BA17&gt;$BA32,0,1)</f>
        <v>0</v>
      </c>
      <c r="BV17" s="42">
        <f t="shared" si="48"/>
        <v>5</v>
      </c>
      <c r="BW17" s="1" t="s">
        <v>49</v>
      </c>
      <c r="BX17" s="1"/>
    </row>
    <row r="18" spans="1:76" x14ac:dyDescent="0.25">
      <c r="A18" s="7" t="str">
        <f>IF($A$9&gt;5,"F","---")</f>
        <v>F</v>
      </c>
      <c r="B18" s="56">
        <v>2700</v>
      </c>
      <c r="C18" s="57">
        <v>2000</v>
      </c>
      <c r="D18" s="57">
        <v>3600</v>
      </c>
      <c r="E18" s="57">
        <v>1700</v>
      </c>
      <c r="F18" s="57">
        <v>1200</v>
      </c>
      <c r="G18" s="57">
        <v>3000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>
        <v>800</v>
      </c>
      <c r="W18" s="20">
        <f t="shared" si="34"/>
        <v>15000</v>
      </c>
      <c r="X18" s="63" t="str">
        <f t="shared" si="35"/>
        <v>Valid</v>
      </c>
      <c r="Y18" s="63" t="str">
        <f t="shared" si="20"/>
        <v>F</v>
      </c>
      <c r="Z18" s="67">
        <f>IF($A$9&gt;5,BA18,"")</f>
        <v>159400</v>
      </c>
      <c r="AA18" s="71">
        <f>IF($A$9&gt;5,BV18,"")</f>
        <v>2</v>
      </c>
      <c r="AB18" s="74" t="str">
        <f t="shared" si="36"/>
        <v/>
      </c>
      <c r="AC18" s="47">
        <f t="shared" si="21"/>
        <v>0.17132416165090283</v>
      </c>
      <c r="AD18" s="44"/>
      <c r="AE18" s="27" t="str">
        <f t="shared" si="22"/>
        <v>F</v>
      </c>
      <c r="AF18" s="36">
        <f t="shared" si="23"/>
        <v>86400</v>
      </c>
      <c r="AG18" s="25">
        <f t="shared" si="24"/>
        <v>32000</v>
      </c>
      <c r="AH18" s="25">
        <f t="shared" si="25"/>
        <v>28800</v>
      </c>
      <c r="AI18" s="25">
        <f t="shared" si="26"/>
        <v>6800</v>
      </c>
      <c r="AJ18" s="25">
        <f t="shared" si="27"/>
        <v>2400</v>
      </c>
      <c r="AK18" s="25">
        <f t="shared" si="28"/>
        <v>3000</v>
      </c>
      <c r="AL18" s="25">
        <f t="shared" si="29"/>
        <v>0</v>
      </c>
      <c r="AM18" s="25">
        <f t="shared" si="30"/>
        <v>0</v>
      </c>
      <c r="AN18" s="25">
        <f t="shared" si="31"/>
        <v>0</v>
      </c>
      <c r="AO18" s="25">
        <f t="shared" si="32"/>
        <v>0</v>
      </c>
      <c r="AP18" s="36">
        <f t="shared" si="37"/>
        <v>0</v>
      </c>
      <c r="AQ18" s="25">
        <f t="shared" si="38"/>
        <v>0</v>
      </c>
      <c r="AR18" s="25">
        <f t="shared" si="39"/>
        <v>0</v>
      </c>
      <c r="AS18" s="25">
        <f t="shared" si="40"/>
        <v>0</v>
      </c>
      <c r="AT18" s="25">
        <f t="shared" si="41"/>
        <v>0</v>
      </c>
      <c r="AU18" s="25">
        <f t="shared" si="42"/>
        <v>0</v>
      </c>
      <c r="AV18" s="25">
        <f t="shared" si="43"/>
        <v>0</v>
      </c>
      <c r="AW18" s="25">
        <f t="shared" si="44"/>
        <v>0</v>
      </c>
      <c r="AX18" s="25">
        <f t="shared" si="45"/>
        <v>0</v>
      </c>
      <c r="AY18" s="25">
        <f t="shared" si="46"/>
        <v>0</v>
      </c>
      <c r="AZ18" s="27" t="str">
        <f t="shared" si="33"/>
        <v>F</v>
      </c>
      <c r="BA18" s="39">
        <f t="shared" si="47"/>
        <v>159400</v>
      </c>
      <c r="BB18" s="30">
        <f>IF($BA18&lt;$BA13,1,0)</f>
        <v>0</v>
      </c>
      <c r="BC18" s="30">
        <f>IF($BA18&lt;$BA14,1,0)</f>
        <v>0</v>
      </c>
      <c r="BD18" s="30">
        <f>IF($BA18&lt;$BA15,1,0)</f>
        <v>1</v>
      </c>
      <c r="BE18" s="30">
        <f>IF($BA18&lt;$BA16,1,0)</f>
        <v>0</v>
      </c>
      <c r="BF18" s="30">
        <f>IF($BA18&lt;$BA17,1,0)</f>
        <v>0</v>
      </c>
      <c r="BG18" s="29">
        <v>1</v>
      </c>
      <c r="BH18" s="32">
        <f>IF($BA18&gt;$BA19,0,1)</f>
        <v>0</v>
      </c>
      <c r="BI18" s="32">
        <f>IF($BA18&gt;$BA20,0,1)</f>
        <v>0</v>
      </c>
      <c r="BJ18" s="32">
        <f>IF($BA18&gt;$BA21,0,1)</f>
        <v>0</v>
      </c>
      <c r="BK18" s="32">
        <f>IF($BA18&gt;$BA22,0,1)</f>
        <v>0</v>
      </c>
      <c r="BL18" s="32">
        <f>IF($BA18&gt;$BA23,0,1)</f>
        <v>0</v>
      </c>
      <c r="BM18" s="32">
        <f>IF($BA18&gt;$BA24,0,1)</f>
        <v>0</v>
      </c>
      <c r="BN18" s="32">
        <f>IF($BA18&gt;$BA25,0,1)</f>
        <v>0</v>
      </c>
      <c r="BO18" s="32">
        <f>IF($BA18&gt;$BA26,0,1)</f>
        <v>0</v>
      </c>
      <c r="BP18" s="32">
        <f>IF($BA18&gt;$BA27,0,1)</f>
        <v>0</v>
      </c>
      <c r="BQ18" s="32">
        <f>IF($BA18&gt;$BA28,0,1)</f>
        <v>0</v>
      </c>
      <c r="BR18" s="32">
        <f>IF($BA18&gt;$BA29,0,1)</f>
        <v>0</v>
      </c>
      <c r="BS18" s="32">
        <f>IF($BA18&gt;$BA30,0,1)</f>
        <v>0</v>
      </c>
      <c r="BT18" s="32">
        <f>IF($BA18&gt;$BA31,0,1)</f>
        <v>0</v>
      </c>
      <c r="BU18" s="32">
        <f>IF($BA18&gt;$BA32,0,1)</f>
        <v>0</v>
      </c>
      <c r="BV18" s="42">
        <f t="shared" si="48"/>
        <v>2</v>
      </c>
      <c r="BW18" s="1" t="s">
        <v>50</v>
      </c>
      <c r="BX18" s="1"/>
    </row>
    <row r="19" spans="1:76" x14ac:dyDescent="0.25">
      <c r="A19" s="7" t="str">
        <f>IF($A$9&gt;6,"G","---")</f>
        <v>---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8"/>
      <c r="W19" s="20">
        <f t="shared" si="34"/>
        <v>0</v>
      </c>
      <c r="X19" s="63" t="str">
        <f t="shared" si="35"/>
        <v>Valid</v>
      </c>
      <c r="Y19" s="63" t="str">
        <f t="shared" si="20"/>
        <v>---</v>
      </c>
      <c r="Z19" s="67" t="str">
        <f>IF($A$9&gt;6,BA19,"")</f>
        <v/>
      </c>
      <c r="AA19" s="71" t="str">
        <f>IF($A$9&gt;6,BV19,"")</f>
        <v/>
      </c>
      <c r="AB19" s="74" t="str">
        <f t="shared" si="36"/>
        <v/>
      </c>
      <c r="AC19" s="47" t="str">
        <f t="shared" si="21"/>
        <v/>
      </c>
      <c r="AD19" s="44"/>
      <c r="AE19" s="27" t="str">
        <f t="shared" si="22"/>
        <v>---</v>
      </c>
      <c r="AF19" s="36">
        <f t="shared" si="23"/>
        <v>0</v>
      </c>
      <c r="AG19" s="25">
        <f t="shared" si="24"/>
        <v>0</v>
      </c>
      <c r="AH19" s="25">
        <f t="shared" si="25"/>
        <v>0</v>
      </c>
      <c r="AI19" s="25">
        <f t="shared" si="26"/>
        <v>0</v>
      </c>
      <c r="AJ19" s="25">
        <f t="shared" si="27"/>
        <v>0</v>
      </c>
      <c r="AK19" s="25">
        <f t="shared" si="28"/>
        <v>0</v>
      </c>
      <c r="AL19" s="25">
        <f t="shared" si="29"/>
        <v>0</v>
      </c>
      <c r="AM19" s="25">
        <f t="shared" si="30"/>
        <v>0</v>
      </c>
      <c r="AN19" s="25">
        <f t="shared" si="31"/>
        <v>0</v>
      </c>
      <c r="AO19" s="25">
        <f t="shared" si="32"/>
        <v>0</v>
      </c>
      <c r="AP19" s="36">
        <f t="shared" si="37"/>
        <v>0</v>
      </c>
      <c r="AQ19" s="25">
        <f t="shared" si="38"/>
        <v>0</v>
      </c>
      <c r="AR19" s="25">
        <f t="shared" si="39"/>
        <v>0</v>
      </c>
      <c r="AS19" s="25">
        <f t="shared" si="40"/>
        <v>0</v>
      </c>
      <c r="AT19" s="25">
        <f t="shared" si="41"/>
        <v>0</v>
      </c>
      <c r="AU19" s="25">
        <f t="shared" si="42"/>
        <v>0</v>
      </c>
      <c r="AV19" s="25">
        <f t="shared" si="43"/>
        <v>0</v>
      </c>
      <c r="AW19" s="25">
        <f t="shared" si="44"/>
        <v>0</v>
      </c>
      <c r="AX19" s="25">
        <f t="shared" si="45"/>
        <v>0</v>
      </c>
      <c r="AY19" s="25">
        <f t="shared" si="46"/>
        <v>0</v>
      </c>
      <c r="AZ19" s="27" t="str">
        <f t="shared" si="33"/>
        <v>---</v>
      </c>
      <c r="BA19" s="39">
        <f t="shared" si="47"/>
        <v>0</v>
      </c>
      <c r="BB19" s="30">
        <f>IF($BA19&lt;$BA13,1,0)</f>
        <v>1</v>
      </c>
      <c r="BC19" s="30">
        <f>IF($BA19&lt;$BA14,1,0)</f>
        <v>1</v>
      </c>
      <c r="BD19" s="30">
        <f>IF($BA19&lt;$BA15,1,0)</f>
        <v>1</v>
      </c>
      <c r="BE19" s="30">
        <f>IF($BA19&lt;$BA16,1,0)</f>
        <v>1</v>
      </c>
      <c r="BF19" s="30">
        <f>IF($BA19&lt;$BA17,1,0)</f>
        <v>1</v>
      </c>
      <c r="BG19" s="30">
        <f>IF($BA19&lt;$BA18,1,0)</f>
        <v>1</v>
      </c>
      <c r="BH19" s="29">
        <v>1</v>
      </c>
      <c r="BI19" s="32">
        <f>IF($BA19&gt;$BA20,0,1)</f>
        <v>1</v>
      </c>
      <c r="BJ19" s="32">
        <f>IF($BA19&gt;$BA21,0,1)</f>
        <v>1</v>
      </c>
      <c r="BK19" s="32">
        <f>IF($BA19&gt;$BA22,0,1)</f>
        <v>1</v>
      </c>
      <c r="BL19" s="32">
        <f>IF($BA19&gt;$BA23,0,1)</f>
        <v>1</v>
      </c>
      <c r="BM19" s="32">
        <f>IF($BA19&gt;$BA24,0,1)</f>
        <v>1</v>
      </c>
      <c r="BN19" s="32">
        <f>IF($BA19&gt;$BA25,0,1)</f>
        <v>1</v>
      </c>
      <c r="BO19" s="32">
        <f>IF($BA19&gt;$BA26,0,1)</f>
        <v>1</v>
      </c>
      <c r="BP19" s="32">
        <f>IF($BA19&gt;$BA27,0,1)</f>
        <v>1</v>
      </c>
      <c r="BQ19" s="32">
        <f>IF($BA19&gt;$BA28,0,1)</f>
        <v>1</v>
      </c>
      <c r="BR19" s="32">
        <f>IF($BA19&gt;$BA29,0,1)</f>
        <v>1</v>
      </c>
      <c r="BS19" s="32">
        <f>IF($BA19&gt;$BA30,0,1)</f>
        <v>1</v>
      </c>
      <c r="BT19" s="32">
        <f>IF($BA19&gt;$BA31,0,1)</f>
        <v>1</v>
      </c>
      <c r="BU19" s="32">
        <f>IF($BA19&gt;$BA32,0,1)</f>
        <v>1</v>
      </c>
      <c r="BV19" s="42">
        <f t="shared" si="48"/>
        <v>20</v>
      </c>
      <c r="BW19" s="1" t="s">
        <v>51</v>
      </c>
    </row>
    <row r="20" spans="1:76" x14ac:dyDescent="0.25">
      <c r="A20" s="7" t="str">
        <f>IF($A$9&gt;7,"H","---")</f>
        <v>---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20">
        <f t="shared" si="34"/>
        <v>0</v>
      </c>
      <c r="X20" s="63" t="str">
        <f t="shared" si="35"/>
        <v>Valid</v>
      </c>
      <c r="Y20" s="63" t="str">
        <f t="shared" si="20"/>
        <v>---</v>
      </c>
      <c r="Z20" s="67" t="str">
        <f>IF($A$9&gt;7,BA20,"")</f>
        <v/>
      </c>
      <c r="AA20" s="71" t="str">
        <f>IF($A$9&gt;7,BV20,"")</f>
        <v/>
      </c>
      <c r="AB20" s="74" t="str">
        <f t="shared" si="36"/>
        <v/>
      </c>
      <c r="AC20" s="47" t="str">
        <f t="shared" si="21"/>
        <v/>
      </c>
      <c r="AD20" s="44"/>
      <c r="AE20" s="27" t="str">
        <f t="shared" si="22"/>
        <v>---</v>
      </c>
      <c r="AF20" s="36">
        <f t="shared" si="23"/>
        <v>0</v>
      </c>
      <c r="AG20" s="25">
        <f t="shared" si="24"/>
        <v>0</v>
      </c>
      <c r="AH20" s="25">
        <f t="shared" si="25"/>
        <v>0</v>
      </c>
      <c r="AI20" s="25">
        <f t="shared" si="26"/>
        <v>0</v>
      </c>
      <c r="AJ20" s="25">
        <f t="shared" si="27"/>
        <v>0</v>
      </c>
      <c r="AK20" s="25">
        <f t="shared" si="28"/>
        <v>0</v>
      </c>
      <c r="AL20" s="25">
        <f t="shared" si="29"/>
        <v>0</v>
      </c>
      <c r="AM20" s="25">
        <f t="shared" si="30"/>
        <v>0</v>
      </c>
      <c r="AN20" s="25">
        <f t="shared" si="31"/>
        <v>0</v>
      </c>
      <c r="AO20" s="25">
        <f t="shared" si="32"/>
        <v>0</v>
      </c>
      <c r="AP20" s="36">
        <f t="shared" si="37"/>
        <v>0</v>
      </c>
      <c r="AQ20" s="25">
        <f t="shared" si="38"/>
        <v>0</v>
      </c>
      <c r="AR20" s="25">
        <f t="shared" si="39"/>
        <v>0</v>
      </c>
      <c r="AS20" s="25">
        <f t="shared" si="40"/>
        <v>0</v>
      </c>
      <c r="AT20" s="25">
        <f t="shared" si="41"/>
        <v>0</v>
      </c>
      <c r="AU20" s="25">
        <f t="shared" si="42"/>
        <v>0</v>
      </c>
      <c r="AV20" s="25">
        <f t="shared" si="43"/>
        <v>0</v>
      </c>
      <c r="AW20" s="25">
        <f t="shared" si="44"/>
        <v>0</v>
      </c>
      <c r="AX20" s="25">
        <f t="shared" si="45"/>
        <v>0</v>
      </c>
      <c r="AY20" s="25">
        <f t="shared" si="46"/>
        <v>0</v>
      </c>
      <c r="AZ20" s="27" t="str">
        <f t="shared" si="33"/>
        <v>---</v>
      </c>
      <c r="BA20" s="39">
        <f t="shared" si="47"/>
        <v>0</v>
      </c>
      <c r="BB20" s="30">
        <f>IF($BA20&lt;$BA13,1,0)</f>
        <v>1</v>
      </c>
      <c r="BC20" s="30">
        <f>IF($BA20&lt;$BA14,1,0)</f>
        <v>1</v>
      </c>
      <c r="BD20" s="30">
        <f>IF($BA20&lt;$BA15,1,0)</f>
        <v>1</v>
      </c>
      <c r="BE20" s="30">
        <f>IF($BA20&lt;$BA16,1,0)</f>
        <v>1</v>
      </c>
      <c r="BF20" s="30">
        <f>IF($BA20&lt;$BA17,1,0)</f>
        <v>1</v>
      </c>
      <c r="BG20" s="30">
        <f>IF($BA20&lt;$BA18,1,0)</f>
        <v>1</v>
      </c>
      <c r="BH20" s="30">
        <f>IF($BA20&lt;$BA19,1,0)</f>
        <v>0</v>
      </c>
      <c r="BI20" s="29">
        <v>1</v>
      </c>
      <c r="BJ20" s="32">
        <f>IF($BA20&gt;$BA21,0,1)</f>
        <v>1</v>
      </c>
      <c r="BK20" s="32">
        <f>IF($BA20&gt;$BA22,0,1)</f>
        <v>1</v>
      </c>
      <c r="BL20" s="32">
        <f>IF($BA20&gt;$BA23,0,1)</f>
        <v>1</v>
      </c>
      <c r="BM20" s="32">
        <f>IF($BA20&gt;$BA24,0,1)</f>
        <v>1</v>
      </c>
      <c r="BN20" s="32">
        <f>IF($BA20&gt;$BA25,0,1)</f>
        <v>1</v>
      </c>
      <c r="BO20" s="32">
        <f>IF($BA20&gt;$BA26,0,1)</f>
        <v>1</v>
      </c>
      <c r="BP20" s="32">
        <f>IF($BA20&gt;$BA27,0,1)</f>
        <v>1</v>
      </c>
      <c r="BQ20" s="32">
        <f>IF($BA20&gt;$BA28,0,1)</f>
        <v>1</v>
      </c>
      <c r="BR20" s="32">
        <f>IF($BA20&gt;$BA29,0,1)</f>
        <v>1</v>
      </c>
      <c r="BS20" s="32">
        <f>IF($BA20&gt;$BA30,0,1)</f>
        <v>1</v>
      </c>
      <c r="BT20" s="32">
        <f>IF($BA20&gt;$BA31,0,1)</f>
        <v>1</v>
      </c>
      <c r="BU20" s="32">
        <f>IF($BA20&gt;$BA32,0,1)</f>
        <v>1</v>
      </c>
      <c r="BV20" s="42">
        <f t="shared" si="48"/>
        <v>19</v>
      </c>
      <c r="BW20" s="1" t="s">
        <v>52</v>
      </c>
    </row>
    <row r="21" spans="1:76" x14ac:dyDescent="0.25">
      <c r="A21" s="7" t="str">
        <f>IF($A$9&gt;8,"I","---")</f>
        <v>---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20">
        <f t="shared" si="34"/>
        <v>0</v>
      </c>
      <c r="X21" s="63" t="str">
        <f t="shared" si="35"/>
        <v>Valid</v>
      </c>
      <c r="Y21" s="63" t="str">
        <f t="shared" si="20"/>
        <v>---</v>
      </c>
      <c r="Z21" s="67" t="str">
        <f>IF($A$9&gt;8,BA21,"")</f>
        <v/>
      </c>
      <c r="AA21" s="71" t="str">
        <f>IF($A$9&gt;8,BV21,"")</f>
        <v/>
      </c>
      <c r="AB21" s="74" t="str">
        <f t="shared" si="36"/>
        <v/>
      </c>
      <c r="AC21" s="47" t="str">
        <f t="shared" si="21"/>
        <v/>
      </c>
      <c r="AD21" s="44"/>
      <c r="AE21" s="27" t="str">
        <f t="shared" si="22"/>
        <v>---</v>
      </c>
      <c r="AF21" s="36">
        <f t="shared" si="23"/>
        <v>0</v>
      </c>
      <c r="AG21" s="25">
        <f t="shared" si="24"/>
        <v>0</v>
      </c>
      <c r="AH21" s="25">
        <f t="shared" si="25"/>
        <v>0</v>
      </c>
      <c r="AI21" s="25">
        <f t="shared" si="26"/>
        <v>0</v>
      </c>
      <c r="AJ21" s="25">
        <f t="shared" si="27"/>
        <v>0</v>
      </c>
      <c r="AK21" s="25">
        <f t="shared" si="28"/>
        <v>0</v>
      </c>
      <c r="AL21" s="25">
        <f t="shared" si="29"/>
        <v>0</v>
      </c>
      <c r="AM21" s="25">
        <f t="shared" si="30"/>
        <v>0</v>
      </c>
      <c r="AN21" s="25">
        <f t="shared" si="31"/>
        <v>0</v>
      </c>
      <c r="AO21" s="25">
        <f t="shared" si="32"/>
        <v>0</v>
      </c>
      <c r="AP21" s="36">
        <f t="shared" si="37"/>
        <v>0</v>
      </c>
      <c r="AQ21" s="25">
        <f t="shared" si="38"/>
        <v>0</v>
      </c>
      <c r="AR21" s="25">
        <f t="shared" si="39"/>
        <v>0</v>
      </c>
      <c r="AS21" s="25">
        <f t="shared" si="40"/>
        <v>0</v>
      </c>
      <c r="AT21" s="25">
        <f t="shared" si="41"/>
        <v>0</v>
      </c>
      <c r="AU21" s="25">
        <f t="shared" si="42"/>
        <v>0</v>
      </c>
      <c r="AV21" s="25">
        <f t="shared" si="43"/>
        <v>0</v>
      </c>
      <c r="AW21" s="25">
        <f t="shared" si="44"/>
        <v>0</v>
      </c>
      <c r="AX21" s="25">
        <f t="shared" si="45"/>
        <v>0</v>
      </c>
      <c r="AY21" s="25">
        <f t="shared" si="46"/>
        <v>0</v>
      </c>
      <c r="AZ21" s="27" t="str">
        <f t="shared" si="33"/>
        <v>---</v>
      </c>
      <c r="BA21" s="39">
        <f t="shared" si="47"/>
        <v>0</v>
      </c>
      <c r="BB21" s="30">
        <f>IF($BA21&lt;$BA13,1,0)</f>
        <v>1</v>
      </c>
      <c r="BC21" s="30">
        <f>IF($BA21&lt;$BA14,1,0)</f>
        <v>1</v>
      </c>
      <c r="BD21" s="30">
        <f>IF($BA21&lt;$BA15,1,0)</f>
        <v>1</v>
      </c>
      <c r="BE21" s="30">
        <f>IF($BA21&lt;$BA16,1,0)</f>
        <v>1</v>
      </c>
      <c r="BF21" s="30">
        <f>IF($BA21&lt;$BA17,1,0)</f>
        <v>1</v>
      </c>
      <c r="BG21" s="30">
        <f>IF($BA21&lt;$BA18,1,0)</f>
        <v>1</v>
      </c>
      <c r="BH21" s="30">
        <f>IF($BA21&lt;$BA19,1,0)</f>
        <v>0</v>
      </c>
      <c r="BI21" s="30">
        <f>IF($BA21&lt;$BA20,1,0)</f>
        <v>0</v>
      </c>
      <c r="BJ21" s="29">
        <v>1</v>
      </c>
      <c r="BK21" s="32">
        <f>IF($BA21&gt;$BA22,0,1)</f>
        <v>1</v>
      </c>
      <c r="BL21" s="32">
        <f>IF($BA21&gt;$BA23,0,1)</f>
        <v>1</v>
      </c>
      <c r="BM21" s="32">
        <f>IF($BA21&gt;$BA24,0,1)</f>
        <v>1</v>
      </c>
      <c r="BN21" s="32">
        <f>IF($BA21&gt;$BA25,0,1)</f>
        <v>1</v>
      </c>
      <c r="BO21" s="32">
        <f>IF($BA21&gt;$BA26,0,1)</f>
        <v>1</v>
      </c>
      <c r="BP21" s="32">
        <f>IF($BA21&gt;$BA27,0,1)</f>
        <v>1</v>
      </c>
      <c r="BQ21" s="32">
        <f>IF($BA21&gt;$BA28,0,1)</f>
        <v>1</v>
      </c>
      <c r="BR21" s="32">
        <f>IF($BA21&gt;$BA29,0,1)</f>
        <v>1</v>
      </c>
      <c r="BS21" s="32">
        <f>IF($BA21&gt;$BA30,0,1)</f>
        <v>1</v>
      </c>
      <c r="BT21" s="32">
        <f>IF($BA21&gt;$BA31,0,1)</f>
        <v>1</v>
      </c>
      <c r="BU21" s="32">
        <f>IF($BA21&gt;$BA32,0,1)</f>
        <v>1</v>
      </c>
      <c r="BV21" s="42">
        <f t="shared" si="48"/>
        <v>18</v>
      </c>
    </row>
    <row r="22" spans="1:76" x14ac:dyDescent="0.25">
      <c r="A22" s="7" t="str">
        <f>IF($A$9&gt;9,"J","---")</f>
        <v>---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  <c r="W22" s="20">
        <f t="shared" si="34"/>
        <v>0</v>
      </c>
      <c r="X22" s="63" t="str">
        <f t="shared" si="35"/>
        <v>Valid</v>
      </c>
      <c r="Y22" s="63" t="str">
        <f t="shared" si="20"/>
        <v>---</v>
      </c>
      <c r="Z22" s="67" t="str">
        <f>IF($A$9&gt;9,BA22,"")</f>
        <v/>
      </c>
      <c r="AA22" s="71" t="str">
        <f>IF($A$9&gt;9,BV22,"")</f>
        <v/>
      </c>
      <c r="AB22" s="74" t="str">
        <f t="shared" si="36"/>
        <v/>
      </c>
      <c r="AC22" s="47" t="str">
        <f t="shared" si="21"/>
        <v/>
      </c>
      <c r="AD22" s="44"/>
      <c r="AE22" s="27" t="str">
        <f t="shared" si="22"/>
        <v>---</v>
      </c>
      <c r="AF22" s="36">
        <f t="shared" si="23"/>
        <v>0</v>
      </c>
      <c r="AG22" s="25">
        <f t="shared" si="24"/>
        <v>0</v>
      </c>
      <c r="AH22" s="25">
        <f t="shared" si="25"/>
        <v>0</v>
      </c>
      <c r="AI22" s="25">
        <f t="shared" si="26"/>
        <v>0</v>
      </c>
      <c r="AJ22" s="25">
        <f t="shared" si="27"/>
        <v>0</v>
      </c>
      <c r="AK22" s="25">
        <f t="shared" si="28"/>
        <v>0</v>
      </c>
      <c r="AL22" s="25">
        <f t="shared" si="29"/>
        <v>0</v>
      </c>
      <c r="AM22" s="25">
        <f t="shared" si="30"/>
        <v>0</v>
      </c>
      <c r="AN22" s="25">
        <f t="shared" si="31"/>
        <v>0</v>
      </c>
      <c r="AO22" s="25">
        <f t="shared" si="32"/>
        <v>0</v>
      </c>
      <c r="AP22" s="36">
        <f t="shared" si="37"/>
        <v>0</v>
      </c>
      <c r="AQ22" s="25">
        <f t="shared" si="38"/>
        <v>0</v>
      </c>
      <c r="AR22" s="25">
        <f t="shared" si="39"/>
        <v>0</v>
      </c>
      <c r="AS22" s="25">
        <f t="shared" si="40"/>
        <v>0</v>
      </c>
      <c r="AT22" s="25">
        <f t="shared" si="41"/>
        <v>0</v>
      </c>
      <c r="AU22" s="25">
        <f t="shared" si="42"/>
        <v>0</v>
      </c>
      <c r="AV22" s="25">
        <f t="shared" si="43"/>
        <v>0</v>
      </c>
      <c r="AW22" s="25">
        <f t="shared" si="44"/>
        <v>0</v>
      </c>
      <c r="AX22" s="25">
        <f t="shared" si="45"/>
        <v>0</v>
      </c>
      <c r="AY22" s="25">
        <f t="shared" si="46"/>
        <v>0</v>
      </c>
      <c r="AZ22" s="27" t="str">
        <f t="shared" si="33"/>
        <v>---</v>
      </c>
      <c r="BA22" s="39">
        <f t="shared" si="47"/>
        <v>0</v>
      </c>
      <c r="BB22" s="30">
        <f>IF($BA22&lt;$BA13,1,0)</f>
        <v>1</v>
      </c>
      <c r="BC22" s="30">
        <f>IF($BA22&lt;$BA14,1,0)</f>
        <v>1</v>
      </c>
      <c r="BD22" s="30">
        <f>IF($BA22&lt;$BA15,1,0)</f>
        <v>1</v>
      </c>
      <c r="BE22" s="30">
        <f>IF($BA22&lt;$BA16,1,0)</f>
        <v>1</v>
      </c>
      <c r="BF22" s="30">
        <f>IF($BA22&lt;$BA17,1,0)</f>
        <v>1</v>
      </c>
      <c r="BG22" s="30">
        <f>IF($BA22&lt;$BA18,1,0)</f>
        <v>1</v>
      </c>
      <c r="BH22" s="30">
        <f>IF($BA22&lt;$BA19,1,0)</f>
        <v>0</v>
      </c>
      <c r="BI22" s="30">
        <f>IF($BA22&lt;$BA20,1,0)</f>
        <v>0</v>
      </c>
      <c r="BJ22" s="30">
        <f>IF($BA22&lt;$BA21,1,0)</f>
        <v>0</v>
      </c>
      <c r="BK22" s="29">
        <v>1</v>
      </c>
      <c r="BL22" s="32">
        <f>IF($BA22&gt;$BA23,0,1)</f>
        <v>1</v>
      </c>
      <c r="BM22" s="32">
        <f>IF($BA22&gt;$BA24,0,1)</f>
        <v>1</v>
      </c>
      <c r="BN22" s="32">
        <f>IF($BA22&gt;$BA25,0,1)</f>
        <v>1</v>
      </c>
      <c r="BO22" s="32">
        <f>IF($BA22&gt;$BA26,0,1)</f>
        <v>1</v>
      </c>
      <c r="BP22" s="32">
        <f>IF($BA22&gt;$BA27,0,1)</f>
        <v>1</v>
      </c>
      <c r="BQ22" s="32">
        <f>IF($BA22&gt;$BA28,0,1)</f>
        <v>1</v>
      </c>
      <c r="BR22" s="32">
        <f>IF($BA22&gt;$BA29,0,1)</f>
        <v>1</v>
      </c>
      <c r="BS22" s="32">
        <f>IF($BA22&gt;$BA30,0,1)</f>
        <v>1</v>
      </c>
      <c r="BT22" s="32">
        <f>IF($BA22&gt;$BA31,0,1)</f>
        <v>1</v>
      </c>
      <c r="BU22" s="32">
        <f>IF($BA22&gt;$BA32,0,1)</f>
        <v>1</v>
      </c>
      <c r="BV22" s="42">
        <f t="shared" si="48"/>
        <v>17</v>
      </c>
    </row>
    <row r="23" spans="1:76" x14ac:dyDescent="0.25">
      <c r="A23" s="7" t="str">
        <f>IF($A$9&gt;10,"K","---")</f>
        <v>---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8"/>
      <c r="W23" s="20">
        <f t="shared" si="34"/>
        <v>0</v>
      </c>
      <c r="X23" s="63" t="str">
        <f t="shared" si="35"/>
        <v>Valid</v>
      </c>
      <c r="Y23" s="63" t="str">
        <f t="shared" si="20"/>
        <v>---</v>
      </c>
      <c r="Z23" s="67" t="str">
        <f>IF($A$9&gt;10,BA23,"")</f>
        <v/>
      </c>
      <c r="AA23" s="71" t="str">
        <f>IF($A$9&gt;10,BV23,"")</f>
        <v/>
      </c>
      <c r="AB23" s="74" t="str">
        <f t="shared" si="36"/>
        <v/>
      </c>
      <c r="AC23" s="47" t="str">
        <f t="shared" si="21"/>
        <v/>
      </c>
      <c r="AD23" s="44"/>
      <c r="AE23" s="27" t="str">
        <f t="shared" si="22"/>
        <v>---</v>
      </c>
      <c r="AF23" s="36">
        <f t="shared" ref="AF23:AF32" si="49">B23*$AF$33</f>
        <v>0</v>
      </c>
      <c r="AG23" s="25">
        <f t="shared" ref="AG23:AG32" si="50">C23*$AG$33</f>
        <v>0</v>
      </c>
      <c r="AH23" s="25">
        <f t="shared" ref="AH23:AH32" si="51">D23*$AH$33</f>
        <v>0</v>
      </c>
      <c r="AI23" s="25">
        <f t="shared" ref="AI23:AI32" si="52">E23*$AI$33</f>
        <v>0</v>
      </c>
      <c r="AJ23" s="25">
        <f t="shared" ref="AJ23:AJ32" si="53">F23*$AJ$33</f>
        <v>0</v>
      </c>
      <c r="AK23" s="25">
        <f t="shared" ref="AK23:AK32" si="54">G23*$AK$33</f>
        <v>0</v>
      </c>
      <c r="AL23" s="25">
        <f t="shared" ref="AL23:AL32" si="55">H23*$AL$33</f>
        <v>0</v>
      </c>
      <c r="AM23" s="25">
        <f t="shared" ref="AM23:AM32" si="56">I23*$AM$33</f>
        <v>0</v>
      </c>
      <c r="AN23" s="25">
        <f t="shared" ref="AN23:AN32" si="57">J23*$AN$33</f>
        <v>0</v>
      </c>
      <c r="AO23" s="25">
        <f t="shared" ref="AO23:AO32" si="58">K23*$AO$33</f>
        <v>0</v>
      </c>
      <c r="AP23" s="36">
        <f t="shared" si="37"/>
        <v>0</v>
      </c>
      <c r="AQ23" s="25">
        <f t="shared" si="38"/>
        <v>0</v>
      </c>
      <c r="AR23" s="25">
        <f t="shared" si="39"/>
        <v>0</v>
      </c>
      <c r="AS23" s="25">
        <f t="shared" si="40"/>
        <v>0</v>
      </c>
      <c r="AT23" s="25">
        <f t="shared" si="41"/>
        <v>0</v>
      </c>
      <c r="AU23" s="25">
        <f t="shared" si="42"/>
        <v>0</v>
      </c>
      <c r="AV23" s="25">
        <f t="shared" si="43"/>
        <v>0</v>
      </c>
      <c r="AW23" s="25">
        <f t="shared" si="44"/>
        <v>0</v>
      </c>
      <c r="AX23" s="25">
        <f t="shared" si="45"/>
        <v>0</v>
      </c>
      <c r="AY23" s="25">
        <f t="shared" si="46"/>
        <v>0</v>
      </c>
      <c r="AZ23" s="27" t="str">
        <f t="shared" si="33"/>
        <v>---</v>
      </c>
      <c r="BA23" s="39">
        <f t="shared" si="47"/>
        <v>0</v>
      </c>
      <c r="BB23" s="30">
        <f>IF($BA23&lt;$BA13,1,0)</f>
        <v>1</v>
      </c>
      <c r="BC23" s="30">
        <f>IF($BA23&lt;$BA14,1,0)</f>
        <v>1</v>
      </c>
      <c r="BD23" s="30">
        <f>IF($BA23&lt;$BA15,1,0)</f>
        <v>1</v>
      </c>
      <c r="BE23" s="30">
        <f>IF($BA23&lt;$BA16,1,0)</f>
        <v>1</v>
      </c>
      <c r="BF23" s="30">
        <f>IF($BA23&lt;$BA17,1,0)</f>
        <v>1</v>
      </c>
      <c r="BG23" s="30">
        <f>IF($BA23&lt;$BA18,1,0)</f>
        <v>1</v>
      </c>
      <c r="BH23" s="30">
        <f>IF($BA23&lt;$BA19,1,0)</f>
        <v>0</v>
      </c>
      <c r="BI23" s="30">
        <f>IF($BA23&lt;$BA20,1,0)</f>
        <v>0</v>
      </c>
      <c r="BJ23" s="30">
        <f>IF($BA23&lt;$BA21,1,0)</f>
        <v>0</v>
      </c>
      <c r="BK23" s="30">
        <f>IF($BA23&lt;$BA22,1,0)</f>
        <v>0</v>
      </c>
      <c r="BL23" s="31">
        <v>1</v>
      </c>
      <c r="BM23" s="32">
        <f>IF($BA23&gt;$BA24,0,1)</f>
        <v>1</v>
      </c>
      <c r="BN23" s="32">
        <f>IF($BA23&gt;$BA25,0,1)</f>
        <v>1</v>
      </c>
      <c r="BO23" s="32">
        <f>IF($BA23&gt;$BA26,0,1)</f>
        <v>1</v>
      </c>
      <c r="BP23" s="32">
        <f>IF($BA23&gt;$BA27,0,1)</f>
        <v>1</v>
      </c>
      <c r="BQ23" s="32">
        <f>IF($BA23&gt;$BA28,0,1)</f>
        <v>1</v>
      </c>
      <c r="BR23" s="32">
        <f>IF($BA23&gt;$BA29,0,1)</f>
        <v>1</v>
      </c>
      <c r="BS23" s="32">
        <f>IF($BA23&gt;$BA30,0,1)</f>
        <v>1</v>
      </c>
      <c r="BT23" s="32">
        <f>IF($BA23&gt;$BA31,0,1)</f>
        <v>1</v>
      </c>
      <c r="BU23" s="32">
        <f>IF($BA23&gt;$BA32,0,1)</f>
        <v>1</v>
      </c>
      <c r="BV23" s="42">
        <f>SUM(BB23:BU23)</f>
        <v>16</v>
      </c>
    </row>
    <row r="24" spans="1:76" x14ac:dyDescent="0.25">
      <c r="A24" s="7" t="str">
        <f>IF($A$9&gt;11,"L","---")</f>
        <v>---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8"/>
      <c r="W24" s="20">
        <f t="shared" si="34"/>
        <v>0</v>
      </c>
      <c r="X24" s="63" t="str">
        <f t="shared" si="35"/>
        <v>Valid</v>
      </c>
      <c r="Y24" s="63" t="str">
        <f t="shared" si="20"/>
        <v>---</v>
      </c>
      <c r="Z24" s="67" t="str">
        <f>IF($A$9&gt;11,BA24,"")</f>
        <v/>
      </c>
      <c r="AA24" s="71" t="str">
        <f>IF($A$9&gt;11,BV24,"")</f>
        <v/>
      </c>
      <c r="AB24" s="74" t="str">
        <f t="shared" si="36"/>
        <v/>
      </c>
      <c r="AC24" s="47" t="str">
        <f t="shared" si="21"/>
        <v/>
      </c>
      <c r="AD24" s="44"/>
      <c r="AE24" s="27" t="str">
        <f t="shared" si="22"/>
        <v>---</v>
      </c>
      <c r="AF24" s="36">
        <f t="shared" si="49"/>
        <v>0</v>
      </c>
      <c r="AG24" s="25">
        <f t="shared" si="50"/>
        <v>0</v>
      </c>
      <c r="AH24" s="25">
        <f t="shared" si="51"/>
        <v>0</v>
      </c>
      <c r="AI24" s="25">
        <f t="shared" si="52"/>
        <v>0</v>
      </c>
      <c r="AJ24" s="25">
        <f t="shared" si="53"/>
        <v>0</v>
      </c>
      <c r="AK24" s="25">
        <f t="shared" si="54"/>
        <v>0</v>
      </c>
      <c r="AL24" s="25">
        <f t="shared" si="55"/>
        <v>0</v>
      </c>
      <c r="AM24" s="25">
        <f t="shared" si="56"/>
        <v>0</v>
      </c>
      <c r="AN24" s="25">
        <f t="shared" si="57"/>
        <v>0</v>
      </c>
      <c r="AO24" s="25">
        <f t="shared" si="58"/>
        <v>0</v>
      </c>
      <c r="AP24" s="36">
        <f t="shared" si="37"/>
        <v>0</v>
      </c>
      <c r="AQ24" s="25">
        <f t="shared" si="38"/>
        <v>0</v>
      </c>
      <c r="AR24" s="25">
        <f t="shared" si="39"/>
        <v>0</v>
      </c>
      <c r="AS24" s="25">
        <f t="shared" si="40"/>
        <v>0</v>
      </c>
      <c r="AT24" s="25">
        <f t="shared" si="41"/>
        <v>0</v>
      </c>
      <c r="AU24" s="25">
        <f t="shared" si="42"/>
        <v>0</v>
      </c>
      <c r="AV24" s="25">
        <f t="shared" si="43"/>
        <v>0</v>
      </c>
      <c r="AW24" s="25">
        <f t="shared" si="44"/>
        <v>0</v>
      </c>
      <c r="AX24" s="25">
        <f t="shared" si="45"/>
        <v>0</v>
      </c>
      <c r="AY24" s="25">
        <f t="shared" si="46"/>
        <v>0</v>
      </c>
      <c r="AZ24" s="27" t="str">
        <f t="shared" si="33"/>
        <v>---</v>
      </c>
      <c r="BA24" s="39">
        <f t="shared" si="47"/>
        <v>0</v>
      </c>
      <c r="BB24" s="30">
        <f>IF($BA24&lt;$BA13,1,0)</f>
        <v>1</v>
      </c>
      <c r="BC24" s="30">
        <f>IF($BA24&lt;$BA14,1,0)</f>
        <v>1</v>
      </c>
      <c r="BD24" s="30">
        <f>IF($BA24&lt;$BA15,1,0)</f>
        <v>1</v>
      </c>
      <c r="BE24" s="30">
        <f>IF($BA24&lt;$BA16,1,0)</f>
        <v>1</v>
      </c>
      <c r="BF24" s="30">
        <f>IF($BA24&lt;$BA17,1,0)</f>
        <v>1</v>
      </c>
      <c r="BG24" s="30">
        <f>IF($BA24&lt;$BA18,1,0)</f>
        <v>1</v>
      </c>
      <c r="BH24" s="30">
        <f>IF($BA24&lt;$BA19,1,0)</f>
        <v>0</v>
      </c>
      <c r="BI24" s="30">
        <f>IF($BA24&lt;$BA20,1,0)</f>
        <v>0</v>
      </c>
      <c r="BJ24" s="30">
        <f>IF($BA24&lt;$BA21,1,0)</f>
        <v>0</v>
      </c>
      <c r="BK24" s="30">
        <f>IF($BA24&lt;$BA22,1,0)</f>
        <v>0</v>
      </c>
      <c r="BL24" s="30">
        <f>IF($BA24&lt;$BA23,1,0)</f>
        <v>0</v>
      </c>
      <c r="BM24" s="31">
        <v>1</v>
      </c>
      <c r="BN24" s="32">
        <f>IF($BA24&gt;$BA25,0,1)</f>
        <v>1</v>
      </c>
      <c r="BO24" s="32">
        <f t="shared" ref="BO24" si="59">IF($BA24&gt;$BA26,0,1)</f>
        <v>1</v>
      </c>
      <c r="BP24" s="32">
        <f>IF($BA24&gt;$BA27,0,1)</f>
        <v>1</v>
      </c>
      <c r="BQ24" s="32">
        <f>IF($BA24&gt;$BA28,0,1)</f>
        <v>1</v>
      </c>
      <c r="BR24" s="32">
        <f>IF($BA24&gt;$BA29,0,1)</f>
        <v>1</v>
      </c>
      <c r="BS24" s="32">
        <f>IF($BA24&gt;$BA30,0,1)</f>
        <v>1</v>
      </c>
      <c r="BT24" s="32">
        <f>IF($BA24&gt;$BA31,0,1)</f>
        <v>1</v>
      </c>
      <c r="BU24" s="32">
        <f>IF($BA24&gt;$BA32,0,1)</f>
        <v>1</v>
      </c>
      <c r="BV24" s="42">
        <f t="shared" si="48"/>
        <v>15</v>
      </c>
    </row>
    <row r="25" spans="1:76" x14ac:dyDescent="0.25">
      <c r="A25" s="7" t="str">
        <f>IF($A$9&gt;12,"M","---")</f>
        <v>---</v>
      </c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20">
        <f t="shared" si="34"/>
        <v>0</v>
      </c>
      <c r="X25" s="63" t="str">
        <f t="shared" si="35"/>
        <v>Valid</v>
      </c>
      <c r="Y25" s="63" t="str">
        <f t="shared" si="20"/>
        <v>---</v>
      </c>
      <c r="Z25" s="67" t="str">
        <f>IF($A$9&gt;12,BA25,"")</f>
        <v/>
      </c>
      <c r="AA25" s="71" t="str">
        <f>IF($A$9&gt;12,BV25,"")</f>
        <v/>
      </c>
      <c r="AB25" s="74" t="str">
        <f t="shared" si="36"/>
        <v/>
      </c>
      <c r="AC25" s="47" t="str">
        <f t="shared" si="21"/>
        <v/>
      </c>
      <c r="AD25" s="44"/>
      <c r="AE25" s="27" t="str">
        <f t="shared" si="22"/>
        <v>---</v>
      </c>
      <c r="AF25" s="36">
        <f t="shared" si="49"/>
        <v>0</v>
      </c>
      <c r="AG25" s="25">
        <f t="shared" si="50"/>
        <v>0</v>
      </c>
      <c r="AH25" s="25">
        <f t="shared" si="51"/>
        <v>0</v>
      </c>
      <c r="AI25" s="25">
        <f t="shared" si="52"/>
        <v>0</v>
      </c>
      <c r="AJ25" s="25">
        <f t="shared" si="53"/>
        <v>0</v>
      </c>
      <c r="AK25" s="25">
        <f t="shared" si="54"/>
        <v>0</v>
      </c>
      <c r="AL25" s="25">
        <f t="shared" si="55"/>
        <v>0</v>
      </c>
      <c r="AM25" s="25">
        <f t="shared" si="56"/>
        <v>0</v>
      </c>
      <c r="AN25" s="25">
        <f t="shared" si="57"/>
        <v>0</v>
      </c>
      <c r="AO25" s="25">
        <f t="shared" si="58"/>
        <v>0</v>
      </c>
      <c r="AP25" s="36">
        <f t="shared" si="37"/>
        <v>0</v>
      </c>
      <c r="AQ25" s="25">
        <f t="shared" si="38"/>
        <v>0</v>
      </c>
      <c r="AR25" s="25">
        <f t="shared" si="39"/>
        <v>0</v>
      </c>
      <c r="AS25" s="25">
        <f t="shared" si="40"/>
        <v>0</v>
      </c>
      <c r="AT25" s="25">
        <f t="shared" si="41"/>
        <v>0</v>
      </c>
      <c r="AU25" s="25">
        <f t="shared" si="42"/>
        <v>0</v>
      </c>
      <c r="AV25" s="25">
        <f t="shared" si="43"/>
        <v>0</v>
      </c>
      <c r="AW25" s="25">
        <f t="shared" si="44"/>
        <v>0</v>
      </c>
      <c r="AX25" s="25">
        <f t="shared" si="45"/>
        <v>0</v>
      </c>
      <c r="AY25" s="25">
        <f t="shared" si="46"/>
        <v>0</v>
      </c>
      <c r="AZ25" s="27" t="str">
        <f t="shared" si="33"/>
        <v>---</v>
      </c>
      <c r="BA25" s="39">
        <f t="shared" si="47"/>
        <v>0</v>
      </c>
      <c r="BB25" s="30">
        <f>IF($BA25&lt;$BA13,1,0)</f>
        <v>1</v>
      </c>
      <c r="BC25" s="30">
        <f>IF($BA25&lt;$BA14,1,0)</f>
        <v>1</v>
      </c>
      <c r="BD25" s="30">
        <f>IF($BA25&lt;$BA15,1,0)</f>
        <v>1</v>
      </c>
      <c r="BE25" s="30">
        <f>IF($BA25&lt;$BA16,1,0)</f>
        <v>1</v>
      </c>
      <c r="BF25" s="30">
        <f>IF($BA25&lt;$BA17,1,0)</f>
        <v>1</v>
      </c>
      <c r="BG25" s="30">
        <f>IF($BA25&lt;$BA18,1,0)</f>
        <v>1</v>
      </c>
      <c r="BH25" s="30">
        <f>IF($BA25&lt;$BA19,1,0)</f>
        <v>0</v>
      </c>
      <c r="BI25" s="30">
        <f>IF($BA25&lt;$BA20,1,0)</f>
        <v>0</v>
      </c>
      <c r="BJ25" s="30">
        <f>IF($BA25&lt;$BA21,1,0)</f>
        <v>0</v>
      </c>
      <c r="BK25" s="30">
        <f>IF($BA25&lt;$BA22,1,0)</f>
        <v>0</v>
      </c>
      <c r="BL25" s="30">
        <f>IF($BA25&lt;$BA23,1,0)</f>
        <v>0</v>
      </c>
      <c r="BM25" s="30">
        <f>IF($BA25&lt;$BA24,1,0)</f>
        <v>0</v>
      </c>
      <c r="BN25" s="31">
        <v>1</v>
      </c>
      <c r="BO25" s="32">
        <f>IF($BA25&gt;$BA26,0,1)</f>
        <v>1</v>
      </c>
      <c r="BP25" s="32">
        <f>IF($BA25&gt;$BA27,0,1)</f>
        <v>1</v>
      </c>
      <c r="BQ25" s="32">
        <f>IF($BA25&gt;$BA28,0,1)</f>
        <v>1</v>
      </c>
      <c r="BR25" s="32">
        <f>IF($BA25&gt;$BA29,0,1)</f>
        <v>1</v>
      </c>
      <c r="BS25" s="32">
        <f>IF($BA25&gt;$BA30,0,1)</f>
        <v>1</v>
      </c>
      <c r="BT25" s="32">
        <f>IF($BA25&gt;$BA31,0,1)</f>
        <v>1</v>
      </c>
      <c r="BU25" s="32">
        <f>IF($BA25&gt;$BA32,0,1)</f>
        <v>1</v>
      </c>
      <c r="BV25" s="42">
        <f t="shared" si="48"/>
        <v>14</v>
      </c>
    </row>
    <row r="26" spans="1:76" x14ac:dyDescent="0.25">
      <c r="A26" s="7" t="str">
        <f>IF($A$9&gt;13,"N","---")</f>
        <v>---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8"/>
      <c r="W26" s="20">
        <f t="shared" si="34"/>
        <v>0</v>
      </c>
      <c r="X26" s="63" t="str">
        <f t="shared" si="35"/>
        <v>Valid</v>
      </c>
      <c r="Y26" s="63" t="str">
        <f t="shared" si="20"/>
        <v>---</v>
      </c>
      <c r="Z26" s="67" t="str">
        <f>IF($A$9&gt;13,BA26,"")</f>
        <v/>
      </c>
      <c r="AA26" s="71" t="str">
        <f>IF($A$9&gt;13,BV26,"")</f>
        <v/>
      </c>
      <c r="AB26" s="74" t="str">
        <f t="shared" si="36"/>
        <v/>
      </c>
      <c r="AC26" s="47" t="str">
        <f t="shared" si="21"/>
        <v/>
      </c>
      <c r="AD26" s="44"/>
      <c r="AE26" s="27" t="str">
        <f t="shared" si="22"/>
        <v>---</v>
      </c>
      <c r="AF26" s="36">
        <f t="shared" si="49"/>
        <v>0</v>
      </c>
      <c r="AG26" s="25">
        <f t="shared" si="50"/>
        <v>0</v>
      </c>
      <c r="AH26" s="25">
        <f t="shared" si="51"/>
        <v>0</v>
      </c>
      <c r="AI26" s="25">
        <f t="shared" si="52"/>
        <v>0</v>
      </c>
      <c r="AJ26" s="25">
        <f t="shared" si="53"/>
        <v>0</v>
      </c>
      <c r="AK26" s="25">
        <f t="shared" si="54"/>
        <v>0</v>
      </c>
      <c r="AL26" s="25">
        <f t="shared" si="55"/>
        <v>0</v>
      </c>
      <c r="AM26" s="25">
        <f t="shared" si="56"/>
        <v>0</v>
      </c>
      <c r="AN26" s="25">
        <f t="shared" si="57"/>
        <v>0</v>
      </c>
      <c r="AO26" s="25">
        <f t="shared" si="58"/>
        <v>0</v>
      </c>
      <c r="AP26" s="36">
        <f t="shared" si="37"/>
        <v>0</v>
      </c>
      <c r="AQ26" s="25">
        <f t="shared" si="38"/>
        <v>0</v>
      </c>
      <c r="AR26" s="25">
        <f t="shared" si="39"/>
        <v>0</v>
      </c>
      <c r="AS26" s="25">
        <f t="shared" si="40"/>
        <v>0</v>
      </c>
      <c r="AT26" s="25">
        <f t="shared" si="41"/>
        <v>0</v>
      </c>
      <c r="AU26" s="25">
        <f t="shared" si="42"/>
        <v>0</v>
      </c>
      <c r="AV26" s="25">
        <f t="shared" si="43"/>
        <v>0</v>
      </c>
      <c r="AW26" s="25">
        <f t="shared" si="44"/>
        <v>0</v>
      </c>
      <c r="AX26" s="25">
        <f t="shared" si="45"/>
        <v>0</v>
      </c>
      <c r="AY26" s="25">
        <f t="shared" si="46"/>
        <v>0</v>
      </c>
      <c r="AZ26" s="27" t="str">
        <f t="shared" si="33"/>
        <v>---</v>
      </c>
      <c r="BA26" s="39">
        <f t="shared" si="47"/>
        <v>0</v>
      </c>
      <c r="BB26" s="30">
        <f>IF($BA26&lt;$BA13,1,0)</f>
        <v>1</v>
      </c>
      <c r="BC26" s="30">
        <f>IF($BA26&lt;$BA14,1,0)</f>
        <v>1</v>
      </c>
      <c r="BD26" s="30">
        <f>IF($BA26&lt;$BA15,1,0)</f>
        <v>1</v>
      </c>
      <c r="BE26" s="30">
        <f>IF($BA26&lt;$BA16,1,0)</f>
        <v>1</v>
      </c>
      <c r="BF26" s="30">
        <f>IF($BA26&lt;$BA17,1,0)</f>
        <v>1</v>
      </c>
      <c r="BG26" s="30">
        <f>IF($BA26&lt;$BA18,1,0)</f>
        <v>1</v>
      </c>
      <c r="BH26" s="30">
        <f>IF($BA26&lt;$BA19,1,0)</f>
        <v>0</v>
      </c>
      <c r="BI26" s="30">
        <f>IF($BA26&lt;$BA20,1,0)</f>
        <v>0</v>
      </c>
      <c r="BJ26" s="30">
        <f>IF($BA26&lt;$BA21,1,0)</f>
        <v>0</v>
      </c>
      <c r="BK26" s="30">
        <f>IF($BA26&lt;$BA22,1,0)</f>
        <v>0</v>
      </c>
      <c r="BL26" s="30">
        <f>IF($BA26&lt;$BA23,1,0)</f>
        <v>0</v>
      </c>
      <c r="BM26" s="30">
        <f>IF($BA26&lt;$BA24,1,0)</f>
        <v>0</v>
      </c>
      <c r="BN26" s="30">
        <f>IF($BA26&lt;$BA25,1,0)</f>
        <v>0</v>
      </c>
      <c r="BO26" s="31">
        <v>1</v>
      </c>
      <c r="BP26" s="32">
        <f>IF($BA26&gt;$BA27,0,1)</f>
        <v>1</v>
      </c>
      <c r="BQ26" s="32">
        <f>IF($BA26&gt;$BA28,0,1)</f>
        <v>1</v>
      </c>
      <c r="BR26" s="32">
        <f>IF($BA26&gt;$BA29,0,1)</f>
        <v>1</v>
      </c>
      <c r="BS26" s="32">
        <f>IF($BA26&gt;$BA30,0,1)</f>
        <v>1</v>
      </c>
      <c r="BT26" s="32">
        <f>IF($BA26&gt;$BA31,0,1)</f>
        <v>1</v>
      </c>
      <c r="BU26" s="32">
        <f>IF($BA26&gt;$BA32,0,1)</f>
        <v>1</v>
      </c>
      <c r="BV26" s="42">
        <f t="shared" si="48"/>
        <v>13</v>
      </c>
    </row>
    <row r="27" spans="1:76" x14ac:dyDescent="0.25">
      <c r="A27" s="7" t="str">
        <f>IF($A$9&gt;14,"O","---")</f>
        <v>---</v>
      </c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/>
      <c r="W27" s="20">
        <f t="shared" si="34"/>
        <v>0</v>
      </c>
      <c r="X27" s="63" t="str">
        <f t="shared" si="35"/>
        <v>Valid</v>
      </c>
      <c r="Y27" s="63" t="str">
        <f t="shared" si="20"/>
        <v>---</v>
      </c>
      <c r="Z27" s="67" t="str">
        <f>IF($A$9&gt;14,BA27,"")</f>
        <v/>
      </c>
      <c r="AA27" s="71" t="str">
        <f>IF($A$9&gt;14,BV27,"")</f>
        <v/>
      </c>
      <c r="AB27" s="74" t="str">
        <f t="shared" si="36"/>
        <v/>
      </c>
      <c r="AC27" s="47" t="str">
        <f t="shared" si="21"/>
        <v/>
      </c>
      <c r="AD27" s="44"/>
      <c r="AE27" s="27" t="str">
        <f t="shared" si="22"/>
        <v>---</v>
      </c>
      <c r="AF27" s="36">
        <f t="shared" si="49"/>
        <v>0</v>
      </c>
      <c r="AG27" s="25">
        <f t="shared" si="50"/>
        <v>0</v>
      </c>
      <c r="AH27" s="25">
        <f t="shared" si="51"/>
        <v>0</v>
      </c>
      <c r="AI27" s="25">
        <f t="shared" si="52"/>
        <v>0</v>
      </c>
      <c r="AJ27" s="25">
        <f t="shared" si="53"/>
        <v>0</v>
      </c>
      <c r="AK27" s="25">
        <f t="shared" si="54"/>
        <v>0</v>
      </c>
      <c r="AL27" s="25">
        <f t="shared" si="55"/>
        <v>0</v>
      </c>
      <c r="AM27" s="25">
        <f t="shared" si="56"/>
        <v>0</v>
      </c>
      <c r="AN27" s="25">
        <f t="shared" si="57"/>
        <v>0</v>
      </c>
      <c r="AO27" s="25">
        <f t="shared" si="58"/>
        <v>0</v>
      </c>
      <c r="AP27" s="36">
        <f t="shared" si="37"/>
        <v>0</v>
      </c>
      <c r="AQ27" s="25">
        <f t="shared" si="38"/>
        <v>0</v>
      </c>
      <c r="AR27" s="25">
        <f t="shared" si="39"/>
        <v>0</v>
      </c>
      <c r="AS27" s="25">
        <f t="shared" si="40"/>
        <v>0</v>
      </c>
      <c r="AT27" s="25">
        <f t="shared" si="41"/>
        <v>0</v>
      </c>
      <c r="AU27" s="25">
        <f t="shared" si="42"/>
        <v>0</v>
      </c>
      <c r="AV27" s="25">
        <f t="shared" si="43"/>
        <v>0</v>
      </c>
      <c r="AW27" s="25">
        <f t="shared" si="44"/>
        <v>0</v>
      </c>
      <c r="AX27" s="25">
        <f t="shared" si="45"/>
        <v>0</v>
      </c>
      <c r="AY27" s="25">
        <f t="shared" si="46"/>
        <v>0</v>
      </c>
      <c r="AZ27" s="27" t="str">
        <f t="shared" si="33"/>
        <v>---</v>
      </c>
      <c r="BA27" s="39">
        <f t="shared" si="47"/>
        <v>0</v>
      </c>
      <c r="BB27" s="30">
        <f>IF($BA27&lt;$BA13,1,0)</f>
        <v>1</v>
      </c>
      <c r="BC27" s="30">
        <f>IF($BA27&lt;$BA14,1,0)</f>
        <v>1</v>
      </c>
      <c r="BD27" s="30">
        <f>IF($BA27&lt;$BA15,1,0)</f>
        <v>1</v>
      </c>
      <c r="BE27" s="30">
        <f>IF($BA27&lt;$BA16,1,0)</f>
        <v>1</v>
      </c>
      <c r="BF27" s="30">
        <f>IF($BA27&lt;$BA17,1,0)</f>
        <v>1</v>
      </c>
      <c r="BG27" s="30">
        <f>IF($BA27&lt;$BA18,1,0)</f>
        <v>1</v>
      </c>
      <c r="BH27" s="30">
        <f>IF($BA27&lt;$BA19,1,0)</f>
        <v>0</v>
      </c>
      <c r="BI27" s="30">
        <f>IF($BA27&lt;$BA20,1,0)</f>
        <v>0</v>
      </c>
      <c r="BJ27" s="30">
        <f>IF($BA27&lt;$BA21,1,0)</f>
        <v>0</v>
      </c>
      <c r="BK27" s="30">
        <f>IF($BA27&lt;$BA22,1,0)</f>
        <v>0</v>
      </c>
      <c r="BL27" s="30">
        <f>IF($BA27&lt;$BA23,1,0)</f>
        <v>0</v>
      </c>
      <c r="BM27" s="30">
        <f>IF($BA27&lt;$BA24,1,0)</f>
        <v>0</v>
      </c>
      <c r="BN27" s="30">
        <f>IF($BA27&lt;$BA25,1,0)</f>
        <v>0</v>
      </c>
      <c r="BO27" s="30">
        <f>IF($BA27&lt;$BA26,1,0)</f>
        <v>0</v>
      </c>
      <c r="BP27" s="31">
        <v>1</v>
      </c>
      <c r="BQ27" s="32">
        <f>IF($BA27&gt;$BA28,0,1)</f>
        <v>1</v>
      </c>
      <c r="BR27" s="32">
        <f>IF($BA27&gt;$BA29,0,1)</f>
        <v>1</v>
      </c>
      <c r="BS27" s="32">
        <f>IF($BA27&gt;$BA30,0,1)</f>
        <v>1</v>
      </c>
      <c r="BT27" s="32">
        <f>IF($BA27&gt;$BA31,0,1)</f>
        <v>1</v>
      </c>
      <c r="BU27" s="32">
        <f>IF($BA27&gt;$BA32,0,1)</f>
        <v>1</v>
      </c>
      <c r="BV27" s="42">
        <f t="shared" si="48"/>
        <v>12</v>
      </c>
    </row>
    <row r="28" spans="1:76" x14ac:dyDescent="0.25">
      <c r="A28" s="7" t="str">
        <f>IF($A$9&gt;15,"P","---")</f>
        <v>---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20">
        <f t="shared" si="34"/>
        <v>0</v>
      </c>
      <c r="X28" s="63" t="str">
        <f t="shared" si="35"/>
        <v>Valid</v>
      </c>
      <c r="Y28" s="63" t="str">
        <f t="shared" si="20"/>
        <v>---</v>
      </c>
      <c r="Z28" s="67" t="str">
        <f>IF($A$9&gt;15,BA28,"")</f>
        <v/>
      </c>
      <c r="AA28" s="71" t="str">
        <f>IF($A$9&gt;15,BV28,"")</f>
        <v/>
      </c>
      <c r="AB28" s="74" t="str">
        <f t="shared" si="36"/>
        <v/>
      </c>
      <c r="AC28" s="47" t="str">
        <f t="shared" si="21"/>
        <v/>
      </c>
      <c r="AD28" s="44"/>
      <c r="AE28" s="27" t="str">
        <f t="shared" si="22"/>
        <v>---</v>
      </c>
      <c r="AF28" s="36">
        <f t="shared" si="49"/>
        <v>0</v>
      </c>
      <c r="AG28" s="25">
        <f t="shared" si="50"/>
        <v>0</v>
      </c>
      <c r="AH28" s="25">
        <f t="shared" si="51"/>
        <v>0</v>
      </c>
      <c r="AI28" s="25">
        <f t="shared" si="52"/>
        <v>0</v>
      </c>
      <c r="AJ28" s="25">
        <f t="shared" si="53"/>
        <v>0</v>
      </c>
      <c r="AK28" s="25">
        <f t="shared" si="54"/>
        <v>0</v>
      </c>
      <c r="AL28" s="25">
        <f t="shared" si="55"/>
        <v>0</v>
      </c>
      <c r="AM28" s="25">
        <f t="shared" si="56"/>
        <v>0</v>
      </c>
      <c r="AN28" s="25">
        <f t="shared" si="57"/>
        <v>0</v>
      </c>
      <c r="AO28" s="25">
        <f t="shared" si="58"/>
        <v>0</v>
      </c>
      <c r="AP28" s="36">
        <f t="shared" si="37"/>
        <v>0</v>
      </c>
      <c r="AQ28" s="25">
        <f t="shared" si="38"/>
        <v>0</v>
      </c>
      <c r="AR28" s="25">
        <f t="shared" si="39"/>
        <v>0</v>
      </c>
      <c r="AS28" s="25">
        <f t="shared" si="40"/>
        <v>0</v>
      </c>
      <c r="AT28" s="25">
        <f t="shared" si="41"/>
        <v>0</v>
      </c>
      <c r="AU28" s="25">
        <f t="shared" si="42"/>
        <v>0</v>
      </c>
      <c r="AV28" s="25">
        <f t="shared" si="43"/>
        <v>0</v>
      </c>
      <c r="AW28" s="25">
        <f t="shared" si="44"/>
        <v>0</v>
      </c>
      <c r="AX28" s="25">
        <f t="shared" si="45"/>
        <v>0</v>
      </c>
      <c r="AY28" s="25">
        <f t="shared" si="46"/>
        <v>0</v>
      </c>
      <c r="AZ28" s="27" t="str">
        <f t="shared" si="33"/>
        <v>---</v>
      </c>
      <c r="BA28" s="39">
        <f t="shared" si="47"/>
        <v>0</v>
      </c>
      <c r="BB28" s="30">
        <f>IF($BA28&lt;$BA13,1,0)</f>
        <v>1</v>
      </c>
      <c r="BC28" s="30">
        <f>IF($BA28&lt;$BA14,1,0)</f>
        <v>1</v>
      </c>
      <c r="BD28" s="30">
        <f>IF($BA28&lt;$BA15,1,0)</f>
        <v>1</v>
      </c>
      <c r="BE28" s="30">
        <f>IF($BA28&lt;$BA16,1,0)</f>
        <v>1</v>
      </c>
      <c r="BF28" s="30">
        <f>IF($BA28&lt;$BA17,1,0)</f>
        <v>1</v>
      </c>
      <c r="BG28" s="30">
        <f>IF($BA28&lt;$BA18,1,0)</f>
        <v>1</v>
      </c>
      <c r="BH28" s="30">
        <f>IF($BA28&lt;$BA19,1,0)</f>
        <v>0</v>
      </c>
      <c r="BI28" s="30">
        <f>IF($BA28&lt;$BA20,1,0)</f>
        <v>0</v>
      </c>
      <c r="BJ28" s="30">
        <f>IF($BA28&lt;$BA21,1,0)</f>
        <v>0</v>
      </c>
      <c r="BK28" s="30">
        <f>IF($BA28&lt;$BA22,1,0)</f>
        <v>0</v>
      </c>
      <c r="BL28" s="30">
        <f>IF($BA28&lt;$BA23,1,0)</f>
        <v>0</v>
      </c>
      <c r="BM28" s="30">
        <f>IF($BA28&lt;$BA24,1,0)</f>
        <v>0</v>
      </c>
      <c r="BN28" s="30">
        <f>IF($BA28&lt;$BA25,1,0)</f>
        <v>0</v>
      </c>
      <c r="BO28" s="30">
        <f>IF($BA28&lt;$BA26,1,0)</f>
        <v>0</v>
      </c>
      <c r="BP28" s="30">
        <f>IF($BA28&lt;$BA27,1,0)</f>
        <v>0</v>
      </c>
      <c r="BQ28" s="31">
        <v>1</v>
      </c>
      <c r="BR28" s="32">
        <f>IF($BA28&gt;$BA29,0,1)</f>
        <v>1</v>
      </c>
      <c r="BS28" s="32">
        <f>IF($BA28&gt;$BA30,0,1)</f>
        <v>1</v>
      </c>
      <c r="BT28" s="32">
        <f>IF($BA28&gt;$BA31,0,1)</f>
        <v>1</v>
      </c>
      <c r="BU28" s="32">
        <f>IF($BA28&gt;$BA32,0,1)</f>
        <v>1</v>
      </c>
      <c r="BV28" s="42">
        <f t="shared" si="48"/>
        <v>11</v>
      </c>
    </row>
    <row r="29" spans="1:76" x14ac:dyDescent="0.25">
      <c r="A29" s="7" t="str">
        <f>IF($A$9&gt;16,"Q","---")</f>
        <v>---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20">
        <f t="shared" si="34"/>
        <v>0</v>
      </c>
      <c r="X29" s="63" t="str">
        <f t="shared" si="35"/>
        <v>Valid</v>
      </c>
      <c r="Y29" s="63" t="str">
        <f t="shared" si="20"/>
        <v>---</v>
      </c>
      <c r="Z29" s="67" t="str">
        <f>IF($A$9&gt;16,BA29,"")</f>
        <v/>
      </c>
      <c r="AA29" s="71" t="str">
        <f>IF($A$9&gt;16,BV29,"")</f>
        <v/>
      </c>
      <c r="AB29" s="74" t="str">
        <f t="shared" si="36"/>
        <v/>
      </c>
      <c r="AC29" s="47" t="str">
        <f t="shared" si="21"/>
        <v/>
      </c>
      <c r="AD29" s="44"/>
      <c r="AE29" s="27" t="str">
        <f t="shared" si="22"/>
        <v>---</v>
      </c>
      <c r="AF29" s="36">
        <f t="shared" si="49"/>
        <v>0</v>
      </c>
      <c r="AG29" s="25">
        <f t="shared" si="50"/>
        <v>0</v>
      </c>
      <c r="AH29" s="25">
        <f t="shared" si="51"/>
        <v>0</v>
      </c>
      <c r="AI29" s="25">
        <f t="shared" si="52"/>
        <v>0</v>
      </c>
      <c r="AJ29" s="25">
        <f t="shared" si="53"/>
        <v>0</v>
      </c>
      <c r="AK29" s="25">
        <f t="shared" si="54"/>
        <v>0</v>
      </c>
      <c r="AL29" s="25">
        <f t="shared" si="55"/>
        <v>0</v>
      </c>
      <c r="AM29" s="25">
        <f t="shared" si="56"/>
        <v>0</v>
      </c>
      <c r="AN29" s="25">
        <f t="shared" si="57"/>
        <v>0</v>
      </c>
      <c r="AO29" s="25">
        <f t="shared" si="58"/>
        <v>0</v>
      </c>
      <c r="AP29" s="36">
        <f t="shared" si="37"/>
        <v>0</v>
      </c>
      <c r="AQ29" s="25">
        <f t="shared" si="38"/>
        <v>0</v>
      </c>
      <c r="AR29" s="25">
        <f t="shared" si="39"/>
        <v>0</v>
      </c>
      <c r="AS29" s="25">
        <f t="shared" si="40"/>
        <v>0</v>
      </c>
      <c r="AT29" s="25">
        <f t="shared" si="41"/>
        <v>0</v>
      </c>
      <c r="AU29" s="25">
        <f t="shared" si="42"/>
        <v>0</v>
      </c>
      <c r="AV29" s="25">
        <f t="shared" si="43"/>
        <v>0</v>
      </c>
      <c r="AW29" s="25">
        <f t="shared" si="44"/>
        <v>0</v>
      </c>
      <c r="AX29" s="25">
        <f t="shared" si="45"/>
        <v>0</v>
      </c>
      <c r="AY29" s="25">
        <f t="shared" si="46"/>
        <v>0</v>
      </c>
      <c r="AZ29" s="27" t="str">
        <f t="shared" si="33"/>
        <v>---</v>
      </c>
      <c r="BA29" s="39">
        <f t="shared" si="47"/>
        <v>0</v>
      </c>
      <c r="BB29" s="30">
        <f>IF($BA29&lt;$BA13,1,0)</f>
        <v>1</v>
      </c>
      <c r="BC29" s="30">
        <f>IF($BA29&lt;$BA14,1,0)</f>
        <v>1</v>
      </c>
      <c r="BD29" s="30">
        <f>IF($BA29&lt;$BA15,1,0)</f>
        <v>1</v>
      </c>
      <c r="BE29" s="30">
        <f>IF($BA29&lt;$BA16,1,0)</f>
        <v>1</v>
      </c>
      <c r="BF29" s="30">
        <f>IF($BA29&lt;$BA17,1,0)</f>
        <v>1</v>
      </c>
      <c r="BG29" s="30">
        <f>IF($BA29&lt;$BA18,1,0)</f>
        <v>1</v>
      </c>
      <c r="BH29" s="30">
        <f>IF($BA29&lt;$BA19,1,0)</f>
        <v>0</v>
      </c>
      <c r="BI29" s="30">
        <f>IF($BA29&lt;$BA20,1,0)</f>
        <v>0</v>
      </c>
      <c r="BJ29" s="30">
        <f>IF($BA29&lt;$BA21,1,0)</f>
        <v>0</v>
      </c>
      <c r="BK29" s="30">
        <f>IF($BA29&lt;$BA22,1,0)</f>
        <v>0</v>
      </c>
      <c r="BL29" s="30">
        <f>IF($BA29&lt;$BA23,1,0)</f>
        <v>0</v>
      </c>
      <c r="BM29" s="30">
        <f>IF($BA29&lt;$BA24,1,0)</f>
        <v>0</v>
      </c>
      <c r="BN29" s="30">
        <f>IF($BA29&lt;$BA25,1,0)</f>
        <v>0</v>
      </c>
      <c r="BO29" s="30">
        <f>IF($BA29&lt;$BA26,1,0)</f>
        <v>0</v>
      </c>
      <c r="BP29" s="30">
        <f>IF($BA29&lt;$BA27,1,0)</f>
        <v>0</v>
      </c>
      <c r="BQ29" s="30">
        <f>IF($BA29&lt;$BA28,1,0)</f>
        <v>0</v>
      </c>
      <c r="BR29" s="31">
        <v>1</v>
      </c>
      <c r="BS29" s="32">
        <f>IF($BA29&gt;$BA30,0,1)</f>
        <v>1</v>
      </c>
      <c r="BT29" s="32">
        <f>IF($BA29&gt;$BA31,0,1)</f>
        <v>1</v>
      </c>
      <c r="BU29" s="32">
        <f>IF($BA29&gt;$BA32,0,1)</f>
        <v>1</v>
      </c>
      <c r="BV29" s="42">
        <f t="shared" si="48"/>
        <v>10</v>
      </c>
    </row>
    <row r="30" spans="1:76" x14ac:dyDescent="0.25">
      <c r="A30" s="7" t="str">
        <f>IF($A$9&gt;17,"R","---")</f>
        <v>---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20">
        <f t="shared" si="34"/>
        <v>0</v>
      </c>
      <c r="X30" s="63" t="str">
        <f t="shared" si="35"/>
        <v>Valid</v>
      </c>
      <c r="Y30" s="63" t="str">
        <f t="shared" si="20"/>
        <v>---</v>
      </c>
      <c r="Z30" s="67" t="str">
        <f>IF($A$9&gt;17,BA30,"")</f>
        <v/>
      </c>
      <c r="AA30" s="71" t="str">
        <f>IF($A$9&gt;17,BV30,"")</f>
        <v/>
      </c>
      <c r="AB30" s="74" t="str">
        <f t="shared" si="36"/>
        <v/>
      </c>
      <c r="AC30" s="47" t="str">
        <f t="shared" si="21"/>
        <v/>
      </c>
      <c r="AD30" s="44"/>
      <c r="AE30" s="27" t="str">
        <f t="shared" si="22"/>
        <v>---</v>
      </c>
      <c r="AF30" s="36">
        <f t="shared" si="49"/>
        <v>0</v>
      </c>
      <c r="AG30" s="25">
        <f t="shared" si="50"/>
        <v>0</v>
      </c>
      <c r="AH30" s="25">
        <f t="shared" si="51"/>
        <v>0</v>
      </c>
      <c r="AI30" s="25">
        <f t="shared" si="52"/>
        <v>0</v>
      </c>
      <c r="AJ30" s="25">
        <f t="shared" si="53"/>
        <v>0</v>
      </c>
      <c r="AK30" s="25">
        <f t="shared" si="54"/>
        <v>0</v>
      </c>
      <c r="AL30" s="25">
        <f t="shared" si="55"/>
        <v>0</v>
      </c>
      <c r="AM30" s="25">
        <f t="shared" si="56"/>
        <v>0</v>
      </c>
      <c r="AN30" s="25">
        <f t="shared" si="57"/>
        <v>0</v>
      </c>
      <c r="AO30" s="25">
        <f t="shared" si="58"/>
        <v>0</v>
      </c>
      <c r="AP30" s="36">
        <f t="shared" si="37"/>
        <v>0</v>
      </c>
      <c r="AQ30" s="25">
        <f t="shared" si="38"/>
        <v>0</v>
      </c>
      <c r="AR30" s="25">
        <f t="shared" si="39"/>
        <v>0</v>
      </c>
      <c r="AS30" s="25">
        <f t="shared" si="40"/>
        <v>0</v>
      </c>
      <c r="AT30" s="25">
        <f t="shared" si="41"/>
        <v>0</v>
      </c>
      <c r="AU30" s="25">
        <f t="shared" si="42"/>
        <v>0</v>
      </c>
      <c r="AV30" s="25">
        <f t="shared" si="43"/>
        <v>0</v>
      </c>
      <c r="AW30" s="25">
        <f t="shared" si="44"/>
        <v>0</v>
      </c>
      <c r="AX30" s="25">
        <f t="shared" si="45"/>
        <v>0</v>
      </c>
      <c r="AY30" s="25">
        <f t="shared" si="46"/>
        <v>0</v>
      </c>
      <c r="AZ30" s="27" t="str">
        <f t="shared" si="33"/>
        <v>---</v>
      </c>
      <c r="BA30" s="39">
        <f t="shared" si="47"/>
        <v>0</v>
      </c>
      <c r="BB30" s="30">
        <f>IF($BA30&lt;$BA13,1,0)</f>
        <v>1</v>
      </c>
      <c r="BC30" s="30">
        <f>IF($BA30&lt;$BA14,1,0)</f>
        <v>1</v>
      </c>
      <c r="BD30" s="30">
        <f>IF($BA30&lt;$BA15,1,0)</f>
        <v>1</v>
      </c>
      <c r="BE30" s="30">
        <f>IF($BA30&lt;$BA16,1,0)</f>
        <v>1</v>
      </c>
      <c r="BF30" s="30">
        <f>IF($BA30&lt;$BA17,1,0)</f>
        <v>1</v>
      </c>
      <c r="BG30" s="30">
        <f>IF($BA30&lt;$BA18,1,0)</f>
        <v>1</v>
      </c>
      <c r="BH30" s="30">
        <f>IF($BA30&lt;$BA19,1,0)</f>
        <v>0</v>
      </c>
      <c r="BI30" s="30">
        <f>IF($BA30&lt;$BA20,1,0)</f>
        <v>0</v>
      </c>
      <c r="BJ30" s="30">
        <f>IF($BA30&lt;$BA21,1,0)</f>
        <v>0</v>
      </c>
      <c r="BK30" s="30">
        <f>IF($BA30&lt;$BA22,1,0)</f>
        <v>0</v>
      </c>
      <c r="BL30" s="30">
        <f>IF($BA30&lt;$BA23,1,0)</f>
        <v>0</v>
      </c>
      <c r="BM30" s="30">
        <f>IF($BA30&lt;$BA24,1,0)</f>
        <v>0</v>
      </c>
      <c r="BN30" s="30">
        <f>IF($BA30&lt;$BA25,1,0)</f>
        <v>0</v>
      </c>
      <c r="BO30" s="30">
        <f>IF($BA30&lt;$BA26,1,0)</f>
        <v>0</v>
      </c>
      <c r="BP30" s="30">
        <f>IF($BA30&lt;$BA27,1,0)</f>
        <v>0</v>
      </c>
      <c r="BQ30" s="30">
        <f>IF($BA30&lt;$BA28,1,0)</f>
        <v>0</v>
      </c>
      <c r="BR30" s="30">
        <f>IF($BA30&lt;$BA29,1,0)</f>
        <v>0</v>
      </c>
      <c r="BS30" s="31">
        <v>1</v>
      </c>
      <c r="BT30" s="32">
        <f>IF($BA30&gt;$BA31,0,1)</f>
        <v>1</v>
      </c>
      <c r="BU30" s="32">
        <f>IF($BA30&gt;$BA32,0,1)</f>
        <v>1</v>
      </c>
      <c r="BV30" s="42">
        <f t="shared" si="48"/>
        <v>9</v>
      </c>
    </row>
    <row r="31" spans="1:76" x14ac:dyDescent="0.25">
      <c r="A31" s="7" t="str">
        <f>IF($A$9&gt;18,"S","---")</f>
        <v>---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  <c r="W31" s="20">
        <f t="shared" si="34"/>
        <v>0</v>
      </c>
      <c r="X31" s="63" t="str">
        <f t="shared" si="35"/>
        <v>Valid</v>
      </c>
      <c r="Y31" s="63" t="str">
        <f t="shared" si="20"/>
        <v>---</v>
      </c>
      <c r="Z31" s="67" t="str">
        <f>IF($A$9&gt;18,BA31,"")</f>
        <v/>
      </c>
      <c r="AA31" s="71" t="str">
        <f>IF($A$9&gt;18,BV31,"")</f>
        <v/>
      </c>
      <c r="AB31" s="74" t="str">
        <f t="shared" si="36"/>
        <v/>
      </c>
      <c r="AC31" s="47" t="str">
        <f t="shared" si="21"/>
        <v/>
      </c>
      <c r="AD31" s="44"/>
      <c r="AE31" s="27" t="str">
        <f t="shared" si="22"/>
        <v>---</v>
      </c>
      <c r="AF31" s="36">
        <f t="shared" si="49"/>
        <v>0</v>
      </c>
      <c r="AG31" s="25">
        <f t="shared" si="50"/>
        <v>0</v>
      </c>
      <c r="AH31" s="25">
        <f t="shared" si="51"/>
        <v>0</v>
      </c>
      <c r="AI31" s="25">
        <f t="shared" si="52"/>
        <v>0</v>
      </c>
      <c r="AJ31" s="25">
        <f t="shared" si="53"/>
        <v>0</v>
      </c>
      <c r="AK31" s="25">
        <f t="shared" si="54"/>
        <v>0</v>
      </c>
      <c r="AL31" s="25">
        <f t="shared" si="55"/>
        <v>0</v>
      </c>
      <c r="AM31" s="25">
        <f t="shared" si="56"/>
        <v>0</v>
      </c>
      <c r="AN31" s="25">
        <f t="shared" si="57"/>
        <v>0</v>
      </c>
      <c r="AO31" s="25">
        <f t="shared" si="58"/>
        <v>0</v>
      </c>
      <c r="AP31" s="36">
        <f t="shared" si="37"/>
        <v>0</v>
      </c>
      <c r="AQ31" s="25">
        <f t="shared" si="38"/>
        <v>0</v>
      </c>
      <c r="AR31" s="25">
        <f t="shared" si="39"/>
        <v>0</v>
      </c>
      <c r="AS31" s="25">
        <f t="shared" si="40"/>
        <v>0</v>
      </c>
      <c r="AT31" s="25">
        <f t="shared" si="41"/>
        <v>0</v>
      </c>
      <c r="AU31" s="25">
        <f t="shared" si="42"/>
        <v>0</v>
      </c>
      <c r="AV31" s="25">
        <f t="shared" si="43"/>
        <v>0</v>
      </c>
      <c r="AW31" s="25">
        <f t="shared" si="44"/>
        <v>0</v>
      </c>
      <c r="AX31" s="25">
        <f t="shared" si="45"/>
        <v>0</v>
      </c>
      <c r="AY31" s="25">
        <f t="shared" si="46"/>
        <v>0</v>
      </c>
      <c r="AZ31" s="27" t="str">
        <f t="shared" si="33"/>
        <v>---</v>
      </c>
      <c r="BA31" s="39">
        <f t="shared" si="47"/>
        <v>0</v>
      </c>
      <c r="BB31" s="30">
        <f>IF($BA31&lt;$BA13,1,0)</f>
        <v>1</v>
      </c>
      <c r="BC31" s="30">
        <f>IF($BA31&lt;$BA14,1,0)</f>
        <v>1</v>
      </c>
      <c r="BD31" s="30">
        <f>IF($BA31&lt;$BA15,1,0)</f>
        <v>1</v>
      </c>
      <c r="BE31" s="30">
        <f>IF($BA31&lt;$BA16,1,0)</f>
        <v>1</v>
      </c>
      <c r="BF31" s="30">
        <f>IF($BA31&lt;$BA17,1,0)</f>
        <v>1</v>
      </c>
      <c r="BG31" s="30">
        <f>IF($BA31&lt;$BA18,1,0)</f>
        <v>1</v>
      </c>
      <c r="BH31" s="30">
        <f>IF($BA31&lt;$BA19,1,0)</f>
        <v>0</v>
      </c>
      <c r="BI31" s="30">
        <f>IF($BA31&lt;$BA20,1,0)</f>
        <v>0</v>
      </c>
      <c r="BJ31" s="30">
        <f>IF($BA31&lt;$BA21,1,0)</f>
        <v>0</v>
      </c>
      <c r="BK31" s="30">
        <f>IF($BA31&lt;$BA22,1,0)</f>
        <v>0</v>
      </c>
      <c r="BL31" s="30">
        <f>IF($BA31&lt;$BA23,1,0)</f>
        <v>0</v>
      </c>
      <c r="BM31" s="30">
        <f>IF($BA31&lt;$BA24,1,0)</f>
        <v>0</v>
      </c>
      <c r="BN31" s="30">
        <f>IF($BA31&lt;$BA25,1,0)</f>
        <v>0</v>
      </c>
      <c r="BO31" s="30">
        <f>IF($BA31&lt;$BA26,1,0)</f>
        <v>0</v>
      </c>
      <c r="BP31" s="30">
        <f>IF($BA31&lt;$BA27,1,0)</f>
        <v>0</v>
      </c>
      <c r="BQ31" s="30">
        <f>IF($BA31&lt;$BA28,1,0)</f>
        <v>0</v>
      </c>
      <c r="BR31" s="30">
        <f>IF($BA31&lt;$BA29,1,0)</f>
        <v>0</v>
      </c>
      <c r="BS31" s="30">
        <f>IF($BA31&lt;$BA30,1,0)</f>
        <v>0</v>
      </c>
      <c r="BT31" s="29">
        <v>1</v>
      </c>
      <c r="BU31" s="32">
        <f>IF($BA31&gt;$BA32,0,1)</f>
        <v>1</v>
      </c>
      <c r="BV31" s="42">
        <f t="shared" si="48"/>
        <v>8</v>
      </c>
    </row>
    <row r="32" spans="1:76" ht="15.75" thickBot="1" x14ac:dyDescent="0.3">
      <c r="A32" s="65" t="str">
        <f>IF($A$9&gt;19,"T","---")</f>
        <v>---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/>
      <c r="W32" s="20">
        <f t="shared" si="34"/>
        <v>0</v>
      </c>
      <c r="X32" s="64" t="str">
        <f t="shared" si="35"/>
        <v>Valid</v>
      </c>
      <c r="Y32" s="64" t="str">
        <f t="shared" si="20"/>
        <v>---</v>
      </c>
      <c r="Z32" s="68" t="str">
        <f>IF($A$9&gt;19,BA32,"")</f>
        <v/>
      </c>
      <c r="AA32" s="72" t="str">
        <f>IF($A$9&gt;19,BV32,"")</f>
        <v/>
      </c>
      <c r="AB32" s="75" t="str">
        <f t="shared" si="36"/>
        <v/>
      </c>
      <c r="AC32" s="48" t="str">
        <f t="shared" si="21"/>
        <v/>
      </c>
      <c r="AD32" s="44"/>
      <c r="AE32" s="28" t="str">
        <f t="shared" si="22"/>
        <v>---</v>
      </c>
      <c r="AF32" s="36">
        <f t="shared" si="49"/>
        <v>0</v>
      </c>
      <c r="AG32" s="25">
        <f t="shared" si="50"/>
        <v>0</v>
      </c>
      <c r="AH32" s="25">
        <f t="shared" si="51"/>
        <v>0</v>
      </c>
      <c r="AI32" s="25">
        <f t="shared" si="52"/>
        <v>0</v>
      </c>
      <c r="AJ32" s="25">
        <f t="shared" si="53"/>
        <v>0</v>
      </c>
      <c r="AK32" s="25">
        <f t="shared" si="54"/>
        <v>0</v>
      </c>
      <c r="AL32" s="25">
        <f t="shared" si="55"/>
        <v>0</v>
      </c>
      <c r="AM32" s="25">
        <f t="shared" si="56"/>
        <v>0</v>
      </c>
      <c r="AN32" s="25">
        <f t="shared" si="57"/>
        <v>0</v>
      </c>
      <c r="AO32" s="25">
        <f t="shared" si="58"/>
        <v>0</v>
      </c>
      <c r="AP32" s="36">
        <f t="shared" si="37"/>
        <v>0</v>
      </c>
      <c r="AQ32" s="25">
        <f t="shared" si="38"/>
        <v>0</v>
      </c>
      <c r="AR32" s="25">
        <f t="shared" si="39"/>
        <v>0</v>
      </c>
      <c r="AS32" s="25">
        <f t="shared" si="40"/>
        <v>0</v>
      </c>
      <c r="AT32" s="25">
        <f t="shared" si="41"/>
        <v>0</v>
      </c>
      <c r="AU32" s="25">
        <f t="shared" si="42"/>
        <v>0</v>
      </c>
      <c r="AV32" s="25">
        <f t="shared" si="43"/>
        <v>0</v>
      </c>
      <c r="AW32" s="25">
        <f t="shared" si="44"/>
        <v>0</v>
      </c>
      <c r="AX32" s="25">
        <f t="shared" si="45"/>
        <v>0</v>
      </c>
      <c r="AY32" s="25">
        <f t="shared" si="46"/>
        <v>0</v>
      </c>
      <c r="AZ32" s="28" t="str">
        <f t="shared" si="33"/>
        <v>---</v>
      </c>
      <c r="BA32" s="40">
        <f t="shared" si="47"/>
        <v>0</v>
      </c>
      <c r="BB32" s="30">
        <f>IF($BA32&lt;$BA13,1,0)</f>
        <v>1</v>
      </c>
      <c r="BC32" s="30">
        <f>IF($BA32&lt;$BA14,1,0)</f>
        <v>1</v>
      </c>
      <c r="BD32" s="30">
        <f>IF($BA32&lt;$BA15,1,0)</f>
        <v>1</v>
      </c>
      <c r="BE32" s="30">
        <f>IF($BA32&lt;$BA16,1,0)</f>
        <v>1</v>
      </c>
      <c r="BF32" s="30">
        <f>IF($BA32&lt;$BA17,1,0)</f>
        <v>1</v>
      </c>
      <c r="BG32" s="30">
        <f>IF($BA32&lt;$BA18,1,0)</f>
        <v>1</v>
      </c>
      <c r="BH32" s="30">
        <f>IF($BA32&lt;$BA19,1,0)</f>
        <v>0</v>
      </c>
      <c r="BI32" s="30">
        <f>IF($BA32&lt;$BA20,1,0)</f>
        <v>0</v>
      </c>
      <c r="BJ32" s="30">
        <f>IF($BA32&lt;$BA21,1,0)</f>
        <v>0</v>
      </c>
      <c r="BK32" s="30">
        <f>IF($BA32&lt;$BA22,1,0)</f>
        <v>0</v>
      </c>
      <c r="BL32" s="30">
        <f>IF($BA32&lt;$BA23,1,0)</f>
        <v>0</v>
      </c>
      <c r="BM32" s="30">
        <f>IF($BA32&lt;$BA24,1,0)</f>
        <v>0</v>
      </c>
      <c r="BN32" s="30">
        <f>IF($BA32&lt;$BA25,1,0)</f>
        <v>0</v>
      </c>
      <c r="BO32" s="30">
        <f>IF($BA32&lt;$BA26,1,0)</f>
        <v>0</v>
      </c>
      <c r="BP32" s="30">
        <f>IF($BA32&lt;$BA27,1,0)</f>
        <v>0</v>
      </c>
      <c r="BQ32" s="30">
        <f>IF($BA32&lt;$BA28,1,0)</f>
        <v>0</v>
      </c>
      <c r="BR32" s="30">
        <f>IF($BA32&lt;$BA29,1,0)</f>
        <v>0</v>
      </c>
      <c r="BS32" s="30">
        <f>IF($BA32&lt;$BA30,1,0)</f>
        <v>0</v>
      </c>
      <c r="BT32" s="30">
        <f>IF($BA32&lt;$BA31,1,0)</f>
        <v>0</v>
      </c>
      <c r="BU32" s="33">
        <v>1</v>
      </c>
      <c r="BV32" s="43">
        <f t="shared" si="48"/>
        <v>7</v>
      </c>
    </row>
    <row r="33" spans="1:73" ht="15.75" thickBot="1" x14ac:dyDescent="0.3">
      <c r="A33" s="11">
        <f>20-COUNTIF(A13:A32,"---")</f>
        <v>6</v>
      </c>
      <c r="B33" s="12">
        <f>SUM(B13:B32)</f>
        <v>15000</v>
      </c>
      <c r="C33" s="12">
        <f t="shared" ref="C33:V33" si="60">SUM(C13:C32)</f>
        <v>14900</v>
      </c>
      <c r="D33" s="12">
        <f t="shared" si="60"/>
        <v>14400</v>
      </c>
      <c r="E33" s="12">
        <f t="shared" si="60"/>
        <v>14000</v>
      </c>
      <c r="F33" s="12">
        <f t="shared" si="60"/>
        <v>13700</v>
      </c>
      <c r="G33" s="12">
        <f t="shared" si="60"/>
        <v>13400</v>
      </c>
      <c r="H33" s="12">
        <f t="shared" si="60"/>
        <v>0</v>
      </c>
      <c r="I33" s="12">
        <f t="shared" si="60"/>
        <v>0</v>
      </c>
      <c r="J33" s="12">
        <f t="shared" si="60"/>
        <v>0</v>
      </c>
      <c r="K33" s="12">
        <f t="shared" si="60"/>
        <v>0</v>
      </c>
      <c r="L33" s="12">
        <f t="shared" si="60"/>
        <v>0</v>
      </c>
      <c r="M33" s="12">
        <f t="shared" si="60"/>
        <v>0</v>
      </c>
      <c r="N33" s="12">
        <f t="shared" si="60"/>
        <v>0</v>
      </c>
      <c r="O33" s="12">
        <f t="shared" si="60"/>
        <v>0</v>
      </c>
      <c r="P33" s="12">
        <f t="shared" si="60"/>
        <v>0</v>
      </c>
      <c r="Q33" s="12">
        <f t="shared" si="60"/>
        <v>0</v>
      </c>
      <c r="R33" s="12">
        <f t="shared" si="60"/>
        <v>0</v>
      </c>
      <c r="S33" s="12">
        <f t="shared" si="60"/>
        <v>0</v>
      </c>
      <c r="T33" s="12">
        <f t="shared" si="60"/>
        <v>0</v>
      </c>
      <c r="U33" s="12">
        <f t="shared" si="60"/>
        <v>0</v>
      </c>
      <c r="V33" s="12">
        <f t="shared" si="60"/>
        <v>4600</v>
      </c>
      <c r="W33" s="17">
        <f t="shared" ref="W33" si="61">SUM(W13:W32)</f>
        <v>90000</v>
      </c>
      <c r="X33" s="22"/>
      <c r="Y33" s="22"/>
      <c r="Z33" s="17">
        <f>SUM(Z13:Z32)</f>
        <v>930400</v>
      </c>
      <c r="AA33" s="35">
        <f>20-COUNTIF(AA13:AA32,"")</f>
        <v>6</v>
      </c>
      <c r="AB33" s="11">
        <f>COUNTIF(AB13:AB32,"Winner")</f>
        <v>1</v>
      </c>
      <c r="AC33" s="49">
        <f>SUM(AC13:AC32)</f>
        <v>1.0000000000000002</v>
      </c>
      <c r="AD33" s="44"/>
      <c r="AF33" s="35">
        <f>IF($A$9&lt;1,0,2^($A$9-1))</f>
        <v>32</v>
      </c>
      <c r="AG33" s="35">
        <f>IF($A$9&lt;2,0,2^($A$9-2))</f>
        <v>16</v>
      </c>
      <c r="AH33" s="35">
        <f>IF($A$9&lt;3,0,2^($A$9-3))</f>
        <v>8</v>
      </c>
      <c r="AI33" s="35">
        <f>IF($A$9&lt;4,0,2^($A$9-4))</f>
        <v>4</v>
      </c>
      <c r="AJ33" s="35">
        <f>IF($A$9&lt;5,0,2^($A$9-5))</f>
        <v>2</v>
      </c>
      <c r="AK33" s="35">
        <f>IF($A$9&lt;6,0,2^($A$9-6))</f>
        <v>1</v>
      </c>
      <c r="AL33" s="35">
        <f>IF($A$9&lt;7,0,2^($A$9-7))</f>
        <v>0</v>
      </c>
      <c r="AM33" s="35">
        <f>IF($A$9&lt;8,0,2^($A$9-8))</f>
        <v>0</v>
      </c>
      <c r="AN33" s="35">
        <f>IF($A$9&lt;9,0,2^($A$9-9))</f>
        <v>0</v>
      </c>
      <c r="AO33" s="35">
        <f>IF($A$9&lt;10,0,2^($A$9-10))</f>
        <v>0</v>
      </c>
      <c r="AP33" s="35">
        <f>IF($A$9&lt;11,0,2^($A$9-11))</f>
        <v>0</v>
      </c>
      <c r="AQ33" s="35">
        <f>IF($A$9&lt;12,0,2^($A$9-12))</f>
        <v>0</v>
      </c>
      <c r="AR33" s="35">
        <f>IF($A$9&lt;13,0,2^($A$9-13))</f>
        <v>0</v>
      </c>
      <c r="AS33" s="35">
        <f>IF($A$9&lt;14,0,2^($A$9-14))</f>
        <v>0</v>
      </c>
      <c r="AT33" s="35">
        <f>IF($A$9&lt;15,0,2^($A$9-15))</f>
        <v>0</v>
      </c>
      <c r="AU33" s="35">
        <f>IF($A$9&lt;16,0,2^($A$9-16))</f>
        <v>0</v>
      </c>
      <c r="AV33" s="35">
        <f>IF($A$9&lt;17,0,2^($A$9-17))</f>
        <v>0</v>
      </c>
      <c r="AW33" s="35">
        <f>IF($A$9&lt;18,0,2^($A$9-18))</f>
        <v>0</v>
      </c>
      <c r="AX33" s="35">
        <f>IF($A$9&lt;19,0,2^($A$9-19))</f>
        <v>0</v>
      </c>
      <c r="AY33" s="35">
        <f>IF($A$9&lt;20,0,2^($A$9-20))</f>
        <v>0</v>
      </c>
      <c r="BB33" s="80" t="s">
        <v>26</v>
      </c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2"/>
    </row>
    <row r="34" spans="1:73" ht="15.75" thickBot="1" x14ac:dyDescent="0.3">
      <c r="A34" s="11" t="s">
        <v>0</v>
      </c>
      <c r="B34" s="80" t="s">
        <v>18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  <c r="W34" s="18"/>
      <c r="X34" s="13"/>
      <c r="Y34" s="13"/>
      <c r="Z34" s="11" t="s">
        <v>33</v>
      </c>
      <c r="AA34" s="11" t="s">
        <v>0</v>
      </c>
      <c r="AB34" s="11" t="s">
        <v>20</v>
      </c>
      <c r="AC34" s="11" t="s">
        <v>38</v>
      </c>
      <c r="AF34" s="80" t="s">
        <v>30</v>
      </c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2"/>
    </row>
    <row r="35" spans="1:73" s="1" customFormat="1" ht="15.75" thickBot="1" x14ac:dyDescent="0.3">
      <c r="A35" s="16" t="str">
        <f>IF(OR($A$9&gt;20,$A$9&lt;2,$A$9&gt;$A$33,$A$9&lt;$A$33),"Error!","Valid")</f>
        <v>Valid</v>
      </c>
      <c r="B35" s="4" t="str">
        <f>IF(OR($W$9&gt;B33,$W$9&lt;B33),"Error!","Valid")</f>
        <v>Valid</v>
      </c>
      <c r="C35" s="5" t="str">
        <f>IF(OR(C33&gt;B33,AND(C33&gt;0,$A$9&lt;2)),"Error!","Valid")</f>
        <v>Valid</v>
      </c>
      <c r="D35" s="5" t="str">
        <f>IF(OR(D33&gt;C33,AND(D33&gt;0,$A$9&lt;3)),"Error!","Valid")</f>
        <v>Valid</v>
      </c>
      <c r="E35" s="5" t="str">
        <f>IF(OR(E33&gt;D33,AND(E33&gt;0,$A$9&lt;4)),"Error!","Valid")</f>
        <v>Valid</v>
      </c>
      <c r="F35" s="5" t="str">
        <f>IF(OR(F33&gt;E33,AND(F33&gt;0,$A$9&lt;5)),"Error!","Valid")</f>
        <v>Valid</v>
      </c>
      <c r="G35" s="5" t="str">
        <f>IF(OR(G33&gt;F33,AND(G33&gt;0,$A$9&lt;6)),"Error!","Valid")</f>
        <v>Valid</v>
      </c>
      <c r="H35" s="5" t="str">
        <f>IF(OR(H33&gt;G33,AND(H33&gt;0,$A$9&lt;7)),"Error!","Valid")</f>
        <v>Valid</v>
      </c>
      <c r="I35" s="5" t="str">
        <f>IF(OR(I33&gt;H33,AND(I33&gt;0,$A$9&lt;8)),"Error!","Valid")</f>
        <v>Valid</v>
      </c>
      <c r="J35" s="5" t="str">
        <f>IF(OR(J33&gt;I33,AND(J33&gt;0,$A$9&lt;9)),"Error!","Valid")</f>
        <v>Valid</v>
      </c>
      <c r="K35" s="5" t="str">
        <f>IF(OR(K33&gt;J33,AND(K33&gt;0,$A$9&lt;10)),"Error!","Valid")</f>
        <v>Valid</v>
      </c>
      <c r="L35" s="5" t="str">
        <f>IF(OR(L33&gt;K33,AND(L33&gt;0,$A$9&lt;11)),"Error!","Valid")</f>
        <v>Valid</v>
      </c>
      <c r="M35" s="5" t="str">
        <f>IF(OR(M33&gt;L33,AND(M33&gt;0,$A$9&lt;12)),"Error!","Valid")</f>
        <v>Valid</v>
      </c>
      <c r="N35" s="5" t="str">
        <f>IF(OR(N33&gt;M33,AND(N33&gt;0,$A$9&lt;13)),"Error!","Valid")</f>
        <v>Valid</v>
      </c>
      <c r="O35" s="5" t="str">
        <f>IF(OR(O33&gt;N33,AND(O33&gt;0,$A$9&lt;14)),"Error!","Valid")</f>
        <v>Valid</v>
      </c>
      <c r="P35" s="5" t="str">
        <f>IF(OR(P33&gt;O33,AND(P33&gt;0,$A$9&lt;15)),"Error!","Valid")</f>
        <v>Valid</v>
      </c>
      <c r="Q35" s="5" t="str">
        <f>IF(OR(Q33&gt;P33,AND(Q33&gt;0,$A$9&lt;16)),"Error!","Valid")</f>
        <v>Valid</v>
      </c>
      <c r="R35" s="5" t="str">
        <f>IF(OR(R33&gt;Q33,AND(R33&gt;0,$A$9&lt;17)),"Error!","Valid")</f>
        <v>Valid</v>
      </c>
      <c r="S35" s="5" t="str">
        <f>IF(OR(S33&gt;R33,AND(S33&gt;0,$A$9&lt;18)),"Error!","Valid")</f>
        <v>Valid</v>
      </c>
      <c r="T35" s="5" t="str">
        <f>IF(OR(T33&gt;S33,AND(T33&gt;0,$A$9&lt;19)),"Error!","Valid")</f>
        <v>Valid</v>
      </c>
      <c r="U35" s="5" t="str">
        <f>IF(OR(U33&gt;T33,AND(U33&gt;0,$A$9&lt;20)),"Error!","Valid")</f>
        <v>Valid</v>
      </c>
      <c r="V35" s="6" t="str">
        <f>IF(V33&gt;($W$9*($A$9-1)),"Error!","Valid")</f>
        <v>Valid</v>
      </c>
      <c r="W35" s="13"/>
      <c r="X35" s="13"/>
      <c r="Y35" s="13"/>
    </row>
    <row r="36" spans="1:73" ht="15.75" thickBot="1" x14ac:dyDescent="0.3">
      <c r="A36" s="80" t="s">
        <v>13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  <c r="W36" s="18"/>
      <c r="X36" s="13"/>
      <c r="Y36" s="13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</row>
  </sheetData>
  <sheetProtection algorithmName="SHA-512" hashValue="nTPXcLQxXTjYtbqtICKBIJCA5n553E9K/JPsK12sRhmAp/mVjQqoSgKoPoyWt9L7OC+hlNIE4B0iWywZDp6vjQ==" saltValue="q5KzvrI8ha+1Mt8+7Bjf8w==" spinCount="100000" sheet="1" selectLockedCells="1"/>
  <mergeCells count="13">
    <mergeCell ref="BB11:BU11"/>
    <mergeCell ref="BB33:BU33"/>
    <mergeCell ref="BB10:BU10"/>
    <mergeCell ref="A11:A12"/>
    <mergeCell ref="AF11:AY11"/>
    <mergeCell ref="AF10:AY10"/>
    <mergeCell ref="B10:V10"/>
    <mergeCell ref="AF34:AY34"/>
    <mergeCell ref="AE11:AE12"/>
    <mergeCell ref="AZ11:AZ12"/>
    <mergeCell ref="B34:V34"/>
    <mergeCell ref="A36:V36"/>
    <mergeCell ref="B11:V11"/>
  </mergeCells>
  <pageMargins left="0.7" right="0.7" top="0.75" bottom="0.75" header="0.3" footer="0.3"/>
  <pageSetup paperSize="9" scale="25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Ranked Ballot CHPV</dc:title>
  <dc:creator>Peter Mendenhall</dc:creator>
  <cp:lastModifiedBy>Peter Mendenhall</cp:lastModifiedBy>
  <cp:lastPrinted>2012-01-03T14:51:20Z</cp:lastPrinted>
  <dcterms:created xsi:type="dcterms:W3CDTF">2011-12-13T11:50:34Z</dcterms:created>
  <dcterms:modified xsi:type="dcterms:W3CDTF">2020-08-13T09:47:28Z</dcterms:modified>
</cp:coreProperties>
</file>